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ADD" sheetId="1" state="visible" r:id="rId3"/>
    <sheet name="REMOVE" sheetId="2" state="visible" r:id="rId4"/>
    <sheet name="NONCI" sheetId="3" state="visible" r:id="rId5"/>
    <sheet name="INFO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<sst xmlns="http://schemas.openxmlformats.org/spreadsheetml/2006/main" count="538" uniqueCount="226">
  <si>
    <t xml:space="preserve">2023</t>
  </si>
  <si>
    <t xml:space="preserve">2015</t>
  </si>
  <si>
    <t xml:space="preserve">id</t>
  </si>
  <si>
    <t xml:space="preserve">class</t>
  </si>
  <si>
    <t xml:space="preserve">tract_id</t>
  </si>
  <si>
    <t xml:space="preserve">stratum</t>
  </si>
  <si>
    <t xml:space="preserve">lon</t>
  </si>
  <si>
    <t xml:space="preserve">lat</t>
  </si>
  <si>
    <t xml:space="preserve">gsv_link</t>
  </si>
  <si>
    <t xml:space="preserve">GSV</t>
  </si>
  <si>
    <t xml:space="preserve">pres24</t>
  </si>
  <si>
    <t xml:space="preserve">mon24</t>
  </si>
  <si>
    <t xml:space="preserve">pres23</t>
  </si>
  <si>
    <t xml:space="preserve">mon23</t>
  </si>
  <si>
    <t xml:space="preserve">fb_year_23</t>
  </si>
  <si>
    <t xml:space="preserve">fb_pres_23</t>
  </si>
  <si>
    <t xml:space="preserve">fb_mon_23</t>
  </si>
  <si>
    <t xml:space="preserve">pres16</t>
  </si>
  <si>
    <t xml:space="preserve">mon16</t>
  </si>
  <si>
    <t xml:space="preserve">pres15</t>
  </si>
  <si>
    <t xml:space="preserve">mon15</t>
  </si>
  <si>
    <t xml:space="preserve">fb_year_15</t>
  </si>
  <si>
    <t xml:space="preserve">fb_pres_15</t>
  </si>
  <si>
    <t xml:space="preserve">fb_mon_15</t>
  </si>
  <si>
    <t xml:space="preserve">notes</t>
  </si>
  <si>
    <t xml:space="preserve">pres_fu</t>
  </si>
  <si>
    <t xml:space="preserve">pres_bl</t>
  </si>
  <si>
    <t xml:space="preserve">match</t>
  </si>
  <si>
    <t xml:space="preserve">ADD</t>
  </si>
  <si>
    <t xml:space="preserve">tract_0001</t>
  </si>
  <si>
    <t xml:space="preserve">D1_C1</t>
  </si>
  <si>
    <t xml:space="preserve">https://www.google.com/maps/@?api=1&amp;map_action=pano&amp;viewpoint=41.3909679997347,2.11211089874738</t>
  </si>
  <si>
    <t xml:space="preserve">peg moved 22 and 16</t>
  </si>
  <si>
    <t xml:space="preserve">tract_0003</t>
  </si>
  <si>
    <t xml:space="preserve">https://www.google.com/maps/@?api=1&amp;map_action=pano&amp;viewpoint=41.4581456267453,2.18031012416</t>
  </si>
  <si>
    <t xml:space="preserve">peg moved 15</t>
  </si>
  <si>
    <t xml:space="preserve">tract_0004</t>
  </si>
  <si>
    <t xml:space="preserve">https://www.google.com/maps/@?api=1&amp;map_action=pano&amp;viewpoint=41.4134215995416,2.14085269668676</t>
  </si>
  <si>
    <t xml:space="preserve">peg moved 24</t>
  </si>
  <si>
    <t xml:space="preserve">tract_0006</t>
  </si>
  <si>
    <t xml:space="preserve">https://www.google.com/maps/@?api=1&amp;map_action=pano&amp;viewpoint=41.4262832087554,2.20113165987653</t>
  </si>
  <si>
    <t xml:space="preserve">https://www.google.com/maps/@?api=1&amp;map_action=pano&amp;viewpoint=41.4260327049088,2.2001190522901</t>
  </si>
  <si>
    <t xml:space="preserve">peg moved 24 and 16</t>
  </si>
  <si>
    <t xml:space="preserve">tract_0007</t>
  </si>
  <si>
    <t xml:space="preserve">D1_C2</t>
  </si>
  <si>
    <t xml:space="preserve">https://www.google.com/maps/@?api=1&amp;map_action=pano&amp;viewpoint=41.3899636143591,2.134757401236</t>
  </si>
  <si>
    <t xml:space="preserve">peg moved 2023</t>
  </si>
  <si>
    <t xml:space="preserve">https://www.google.com/maps/@?api=1&amp;map_action=pano&amp;viewpoint=41.3881854073843,2.13402755812854</t>
  </si>
  <si>
    <t xml:space="preserve">tract_0009</t>
  </si>
  <si>
    <t xml:space="preserve">https://www.google.com/maps/@?api=1&amp;map_action=pano&amp;viewpoint=41.4168121764961,2.19881673887713</t>
  </si>
  <si>
    <t xml:space="preserve">tract_0010</t>
  </si>
  <si>
    <t xml:space="preserve">https://www.google.com/maps/@?api=1&amp;map_action=pano&amp;viewpoint=41.4168653577514,2.17461017557639</t>
  </si>
  <si>
    <t xml:space="preserve">https://www.google.com/maps/@?api=1&amp;map_action=pano&amp;viewpoint=41.414975730964,2.17205102853822</t>
  </si>
  <si>
    <t xml:space="preserve">realignment</t>
  </si>
  <si>
    <t xml:space="preserve">tract_0011</t>
  </si>
  <si>
    <t xml:space="preserve">https://www.google.com/maps/@?api=1&amp;map_action=pano&amp;viewpoint=41.4204481302083,2.2075546110796</t>
  </si>
  <si>
    <t xml:space="preserve">https://www.google.com/maps/@?api=1&amp;map_action=pano&amp;viewpoint=41.4202454258576,2.20794256929774</t>
  </si>
  <si>
    <t xml:space="preserve">tract_0012</t>
  </si>
  <si>
    <t xml:space="preserve">https://www.google.com/maps/@?api=1&amp;map_action=pano&amp;viewpoint=41.4121092794043,2.16098092184219</t>
  </si>
  <si>
    <t xml:space="preserve">https://www.google.com/maps/@?api=1&amp;map_action=pano&amp;viewpoint=41.4125465819168,2.16175831110785</t>
  </si>
  <si>
    <t xml:space="preserve">peg moved 23 and 16 and 15</t>
  </si>
  <si>
    <t xml:space="preserve">tract_0013</t>
  </si>
  <si>
    <t xml:space="preserve">D1_C3</t>
  </si>
  <si>
    <t xml:space="preserve">https://www.google.com/maps/@?api=1&amp;map_action=pano&amp;viewpoint=41.3945206907087,2.20077256303846</t>
  </si>
  <si>
    <t xml:space="preserve">https://www.google.com/maps/@?api=1&amp;map_action=pano&amp;viewpoint=41.394718915396,2.20100922656311</t>
  </si>
  <si>
    <t xml:space="preserve">tract_0017</t>
  </si>
  <si>
    <t xml:space="preserve">https://www.google.com/maps/@?api=1&amp;map_action=pano&amp;viewpoint=41.3762241357195,2.14515055931621</t>
  </si>
  <si>
    <t xml:space="preserve">https://www.google.com/maps/@?api=1&amp;map_action=pano&amp;viewpoint=41.3764134914288,2.14559167922172</t>
  </si>
  <si>
    <t xml:space="preserve">tract_0018</t>
  </si>
  <si>
    <t xml:space="preserve">https://www.google.com/maps/@?api=1&amp;map_action=pano&amp;viewpoint=41.4055753756871,2.18284748138898</t>
  </si>
  <si>
    <t xml:space="preserve">https://www.google.com/maps/@?api=1&amp;map_action=pano&amp;viewpoint=41.403094880684,2.18285971742863</t>
  </si>
  <si>
    <t xml:space="preserve">tract_0023</t>
  </si>
  <si>
    <t xml:space="preserve">D2_C1</t>
  </si>
  <si>
    <t xml:space="preserve">https://www.google.com/maps/@?api=1&amp;map_action=pano&amp;viewpoint=41.4287555466715,2.17585558557915</t>
  </si>
  <si>
    <t xml:space="preserve">tract_0024</t>
  </si>
  <si>
    <t xml:space="preserve">https://www.google.com/maps/@?api=1&amp;map_action=pano&amp;viewpoint=41.4409954760919,2.19083141351904</t>
  </si>
  <si>
    <t xml:space="preserve">tract_0025</t>
  </si>
  <si>
    <t xml:space="preserve">D2_C2</t>
  </si>
  <si>
    <t xml:space="preserve">https://www.google.com/maps/@?api=1&amp;map_action=pano&amp;viewpoint=41.4003124653889,2.15155610489397</t>
  </si>
  <si>
    <t xml:space="preserve">https://www.google.com/maps/@?api=1&amp;map_action=pano&amp;viewpoint=41.400204647767,2.15153939610418</t>
  </si>
  <si>
    <t xml:space="preserve">tract_0028</t>
  </si>
  <si>
    <t xml:space="preserve">https://www.google.com/maps/@?api=1&amp;map_action=pano&amp;viewpoint=41.4130517909949,2.18688350279505</t>
  </si>
  <si>
    <t xml:space="preserve">https://www.google.com/maps/@?api=1&amp;map_action=pano&amp;viewpoint=41.4140408624214,2.18630763816643</t>
  </si>
  <si>
    <t xml:space="preserve">peg moved 23</t>
  </si>
  <si>
    <t xml:space="preserve">tract_0030</t>
  </si>
  <si>
    <t xml:space="preserve">https://www.google.com/maps/@?api=1&amp;map_action=pano&amp;viewpoint=41.3859805190524,2.13625700853397</t>
  </si>
  <si>
    <t xml:space="preserve">https://www.google.com/maps/@?api=1&amp;map_action=pano&amp;viewpoint=41.3852971271454,2.13855858286425</t>
  </si>
  <si>
    <t xml:space="preserve">tract_0031</t>
  </si>
  <si>
    <t xml:space="preserve">D2_C3</t>
  </si>
  <si>
    <t xml:space="preserve">https://www.google.com/maps/@?api=1&amp;map_action=pano&amp;viewpoint=41.3911878676426,2.18642991571189</t>
  </si>
  <si>
    <t xml:space="preserve">https://www.google.com/maps/@?api=1&amp;map_action=pano&amp;viewpoint=41.3903749358271,2.18533799661021</t>
  </si>
  <si>
    <t xml:space="preserve">tract_0035</t>
  </si>
  <si>
    <t xml:space="preserve">https://www.google.com/maps/@?api=1&amp;map_action=pano&amp;viewpoint=41.3826431790481,2.15897555292766</t>
  </si>
  <si>
    <t xml:space="preserve">tract_0036</t>
  </si>
  <si>
    <t xml:space="preserve">https://www.google.com/maps/@?api=1&amp;map_action=pano&amp;viewpoint=41.3981184632183,2.15370501205099</t>
  </si>
  <si>
    <t xml:space="preserve">https://www.google.com/maps/@?api=1&amp;map_action=pano&amp;viewpoint=41.3981332109611,2.1537501547691</t>
  </si>
  <si>
    <t xml:space="preserve">tract_0041</t>
  </si>
  <si>
    <t xml:space="preserve">D3_C1</t>
  </si>
  <si>
    <t xml:space="preserve">https://www.google.com/maps/@?api=1&amp;map_action=pano&amp;viewpoint=41.3756644128399,2.1240095291374</t>
  </si>
  <si>
    <t xml:space="preserve">tract_0043</t>
  </si>
  <si>
    <t xml:space="preserve">D3_C2</t>
  </si>
  <si>
    <t xml:space="preserve">https://www.google.com/maps/@?api=1&amp;map_action=pano&amp;viewpoint=41.3750869481267,2.13075902951078</t>
  </si>
  <si>
    <t xml:space="preserve">https://www.google.com/maps/@?api=1&amp;map_action=pano&amp;viewpoint=41.3738399462803,2.13118777902404</t>
  </si>
  <si>
    <t xml:space="preserve">tract_0044</t>
  </si>
  <si>
    <t xml:space="preserve">https://www.google.com/maps/@?api=1&amp;map_action=pano&amp;viewpoint=41.4118804921771,2.17976081270431</t>
  </si>
  <si>
    <t xml:space="preserve">peg moved 24 and 23</t>
  </si>
  <si>
    <t xml:space="preserve">https://www.google.com/maps/@?api=1&amp;map_action=pano&amp;viewpoint=41.4127447371871,2.180890772398</t>
  </si>
  <si>
    <t xml:space="preserve"> road works; peg moved 23</t>
  </si>
  <si>
    <t xml:space="preserve">tract_0045</t>
  </si>
  <si>
    <t xml:space="preserve">https://www.google.com/maps/@?api=1&amp;map_action=pano&amp;viewpoint=41.3848229909854,2.13736483373658</t>
  </si>
  <si>
    <t xml:space="preserve">https://www.google.com/maps/@?api=1&amp;map_action=pano&amp;viewpoint=41.3851659046238,2.13784099621788</t>
  </si>
  <si>
    <t xml:space="preserve">tract_0046</t>
  </si>
  <si>
    <t xml:space="preserve">https://www.google.com/maps/@?api=1&amp;map_action=pano&amp;viewpoint=41.4166187121365,2.1905776282886</t>
  </si>
  <si>
    <t xml:space="preserve">tract_0047</t>
  </si>
  <si>
    <t xml:space="preserve">https://www.google.com/maps/@?api=1&amp;map_action=pano&amp;viewpoint=41.3600114226599,2.1392576352892</t>
  </si>
  <si>
    <t xml:space="preserve">tract_0049</t>
  </si>
  <si>
    <t xml:space="preserve">D3_C3</t>
  </si>
  <si>
    <t xml:space="preserve">https://www.google.com/maps/@?api=1&amp;map_action=pano&amp;viewpoint=41.3826401063928,2.14988483545965</t>
  </si>
  <si>
    <t xml:space="preserve">tract_0050</t>
  </si>
  <si>
    <t xml:space="preserve">https://www.google.com/maps/@?api=1&amp;map_action=pano&amp;viewpoint=41.381818495143,2.15114251227034</t>
  </si>
  <si>
    <t xml:space="preserve">peg moved all</t>
  </si>
  <si>
    <t xml:space="preserve">https://www.google.com/maps/@?api=1&amp;map_action=pano&amp;viewpoint=41.3817275823742,2.15108663385945</t>
  </si>
  <si>
    <t xml:space="preserve">tract_0051</t>
  </si>
  <si>
    <t xml:space="preserve">https://www.google.com/maps/@?api=1&amp;map_action=pano&amp;viewpoint=41.3781971000936,2.15362165090984</t>
  </si>
  <si>
    <t xml:space="preserve">peg moved 23 and 16</t>
  </si>
  <si>
    <t xml:space="preserve">tract_0052</t>
  </si>
  <si>
    <t xml:space="preserve">https://www.google.com/maps/@?api=1&amp;map_action=pano&amp;viewpoint=41.3826129597012,2.14763895462665</t>
  </si>
  <si>
    <t xml:space="preserve">https://www.google.com/maps/@?api=1&amp;map_action=pano&amp;viewpoint=41.3830424246768,2.14820775338395</t>
  </si>
  <si>
    <t xml:space="preserve">REMOVE</t>
  </si>
  <si>
    <t xml:space="preserve">https://www.google.com/maps/@?api=1&amp;map_action=pano&amp;viewpoint=41.3849403989724,2.10400617396064</t>
  </si>
  <si>
    <t xml:space="preserve">tract_0008</t>
  </si>
  <si>
    <t xml:space="preserve">https://www.google.com/maps/@?api=1&amp;map_action=pano&amp;viewpoint=41.4201900660698,2.20077984083242</t>
  </si>
  <si>
    <t xml:space="preserve">https://www.google.com/maps/@?api=1&amp;map_action=pano&amp;viewpoint=41.3753719135312,2.14838582462673</t>
  </si>
  <si>
    <t xml:space="preserve">tract_0020</t>
  </si>
  <si>
    <t xml:space="preserve">https://www.google.com/maps/@?api=1&amp;map_action=pano&amp;viewpoint=41.4325734990105,2.17979187635586</t>
  </si>
  <si>
    <t xml:space="preserve">https://www.google.com/maps/@?api=1&amp;map_action=pano&amp;viewpoint=41.4302401188698,2.17443553665477</t>
  </si>
  <si>
    <t xml:space="preserve">https://www.google.com/maps/@?api=1&amp;map_action=pano&amp;viewpoint=41.3843400360326,2.15681272246317</t>
  </si>
  <si>
    <t xml:space="preserve">https://www.google.com/maps/@?api=1&amp;map_action=pano&amp;viewpoint=41.3832798659396,2.15726201275132</t>
  </si>
  <si>
    <t xml:space="preserve">realigment</t>
  </si>
  <si>
    <t xml:space="preserve">https://www.google.com/maps/@?api=1&amp;map_action=pano&amp;viewpoint=41.3809395290626,2.15213844443264</t>
  </si>
  <si>
    <t xml:space="preserve">Follow-up</t>
  </si>
  <si>
    <t xml:space="preserve">Baseline</t>
  </si>
  <si>
    <t xml:space="preserve">pres22</t>
  </si>
  <si>
    <t xml:space="preserve">mon22</t>
  </si>
  <si>
    <t xml:space="preserve">pres14</t>
  </si>
  <si>
    <t xml:space="preserve">mon14</t>
  </si>
  <si>
    <t xml:space="preserve">NONCI</t>
  </si>
  <si>
    <t xml:space="preserve">https://www.google.com/maps/@?api=1&amp;map_action=pano&amp;viewpoint=41.3895594523829,2.10441235059915</t>
  </si>
  <si>
    <t xml:space="preserve">peg moved 22 and 15</t>
  </si>
  <si>
    <t xml:space="preserve">tract_0002</t>
  </si>
  <si>
    <t xml:space="preserve">https://www.google.com/maps/@?api=1&amp;map_action=pano&amp;viewpoint=41.4216820407901,2.16919488937241</t>
  </si>
  <si>
    <t xml:space="preserve">https://www.google.com/maps/@?api=1&amp;map_action=pano&amp;viewpoint=41.4549903058703,2.17916326903095</t>
  </si>
  <si>
    <t xml:space="preserve">no images</t>
  </si>
  <si>
    <t xml:space="preserve">https://www.google.com/maps/@?api=1&amp;map_action=pano&amp;viewpoint=41.4152785875993,2.13908529805925</t>
  </si>
  <si>
    <t xml:space="preserve">tract_0005</t>
  </si>
  <si>
    <t xml:space="preserve">https://www.google.com/maps/@?api=1&amp;map_action=pano&amp;viewpoint=41.4229756102428,2.20906860933044</t>
  </si>
  <si>
    <t xml:space="preserve">https://www.google.com/maps/@?api=1&amp;map_action=pano&amp;viewpoint=41.4258905806347,2.20484681868868</t>
  </si>
  <si>
    <t xml:space="preserve">https://www.google.com/maps/@?api=1&amp;map_action=pano&amp;viewpoint=41.3886459941181,2.13605268130468</t>
  </si>
  <si>
    <t xml:space="preserve">https://www.google.com/maps/@?api=1&amp;map_action=pano&amp;viewpoint=41.4192845883494,2.19973194310656</t>
  </si>
  <si>
    <t xml:space="preserve">no data 2023</t>
  </si>
  <si>
    <t xml:space="preserve">https://www.google.com/maps/@?api=1&amp;map_action=pano&amp;viewpoint=41.418314723108,2.20099660334155</t>
  </si>
  <si>
    <t xml:space="preserve">https://www.google.com/maps/@?api=1&amp;map_action=pano&amp;viewpoint=41.4172851501864,2.1719534490003</t>
  </si>
  <si>
    <t xml:space="preserve">https://www.google.com/maps/@?api=1&amp;map_action=pano&amp;viewpoint=41.4212327396107,2.2085959023376</t>
  </si>
  <si>
    <t xml:space="preserve">https://www.google.com/maps/@?api=1&amp;map_action=pano&amp;viewpoint=41.4136824558834,2.16049369124227</t>
  </si>
  <si>
    <t xml:space="preserve">https://www.google.com/maps/@?api=1&amp;map_action=pano&amp;viewpoint=41.3968741340237,2.19662757442697</t>
  </si>
  <si>
    <t xml:space="preserve">tract_0014</t>
  </si>
  <si>
    <t xml:space="preserve">https://www.google.com/maps/@?api=1&amp;map_action=pano&amp;viewpoint=41.3815198505021,2.17675959869425</t>
  </si>
  <si>
    <t xml:space="preserve">tract_0015</t>
  </si>
  <si>
    <t xml:space="preserve">https://www.google.com/maps/@?api=1&amp;map_action=pano&amp;viewpoint=41.3985654193142,2.19893423224654</t>
  </si>
  <si>
    <t xml:space="preserve">tract_0016</t>
  </si>
  <si>
    <t xml:space="preserve">https://www.google.com/maps/@?api=1&amp;map_action=pano&amp;viewpoint=41.4076066879062,2.20468220744704</t>
  </si>
  <si>
    <t xml:space="preserve">https://www.google.com/maps/@?api=1&amp;map_action=pano&amp;viewpoint=41.3758934897395,2.14621758311762</t>
  </si>
  <si>
    <t xml:space="preserve">tract_0019</t>
  </si>
  <si>
    <t xml:space="preserve">https://www.google.com/maps/@?api=1&amp;map_action=pano&amp;viewpoint=41.396230594351,2.1217889459586</t>
  </si>
  <si>
    <t xml:space="preserve">https://www.google.com/maps/@?api=1&amp;map_action=pano&amp;viewpoint=41.4313457041624,2.17908894150395</t>
  </si>
  <si>
    <t xml:space="preserve">tract_0021</t>
  </si>
  <si>
    <t xml:space="preserve">https://www.google.com/maps/@?api=1&amp;map_action=pano&amp;viewpoint=41.3929009079565,2.1257689815069</t>
  </si>
  <si>
    <t xml:space="preserve">tract_0022</t>
  </si>
  <si>
    <t xml:space="preserve">https://www.google.com/maps/@?api=1&amp;map_action=pano&amp;viewpoint=41.4348652360132,2.18422140795697</t>
  </si>
  <si>
    <t xml:space="preserve">https://www.google.com/maps/@?api=1&amp;map_action=pano&amp;viewpoint=41.4280696452023,2.17554070368043</t>
  </si>
  <si>
    <t xml:space="preserve">https://www.google.com/maps/@?api=1&amp;map_action=pano&amp;viewpoint=41.4407613525245,2.18916874931851</t>
  </si>
  <si>
    <t xml:space="preserve">pavement changed</t>
  </si>
  <si>
    <t xml:space="preserve">https://www.google.com/maps/@?api=1&amp;map_action=pano&amp;viewpoint=41.4011854588709,2.15235610314992</t>
  </si>
  <si>
    <t xml:space="preserve">tract_0026</t>
  </si>
  <si>
    <t xml:space="preserve">https://www.google.com/maps/@?api=1&amp;map_action=pano&amp;viewpoint=41.4010048500573,2.13609114981908</t>
  </si>
  <si>
    <t xml:space="preserve">tract_0027</t>
  </si>
  <si>
    <t xml:space="preserve">https://www.google.com/maps/@?api=1&amp;map_action=pano&amp;viewpoint=41.4226246930358,2.17196473004792</t>
  </si>
  <si>
    <t xml:space="preserve">https://www.google.com/maps/@?api=1&amp;map_action=pano&amp;viewpoint=41.4132997449837,2.18467735930514</t>
  </si>
  <si>
    <t xml:space="preserve">tract_0029</t>
  </si>
  <si>
    <t xml:space="preserve">https://www.google.com/maps/@?api=1&amp;map_action=pano&amp;viewpoint=41.4057193003193,2.1562834011384</t>
  </si>
  <si>
    <t xml:space="preserve">peg moved 22 and 16 and 15</t>
  </si>
  <si>
    <t xml:space="preserve">https://www.google.com/maps/@?api=1&amp;map_action=pano&amp;viewpoint=41.3872125901025,2.13581324384167</t>
  </si>
  <si>
    <t xml:space="preserve">https://www.google.com/maps/@?api=1&amp;map_action=pano&amp;viewpoint=41.391080594057,2.18509796710136</t>
  </si>
  <si>
    <t xml:space="preserve">tract_0032</t>
  </si>
  <si>
    <t xml:space="preserve">https://www.google.com/maps/@?api=1&amp;map_action=pano&amp;viewpoint=41.4011555199841,2.20237586249134</t>
  </si>
  <si>
    <t xml:space="preserve">tract_0033</t>
  </si>
  <si>
    <t xml:space="preserve">https://www.google.com/maps/@?api=1&amp;map_action=pano&amp;viewpoint=41.3800730268472,2.19139544456942</t>
  </si>
  <si>
    <t xml:space="preserve">tract_0034</t>
  </si>
  <si>
    <t xml:space="preserve">https://www.google.com/maps/@?api=1&amp;map_action=pano&amp;viewpoint=41.3843067005011,2.1831528971609</t>
  </si>
  <si>
    <t xml:space="preserve">https://www.google.com/maps/@?api=1&amp;map_action=pano&amp;viewpoint=41.3983624631247,2.15678942388002</t>
  </si>
  <si>
    <t xml:space="preserve">indoors</t>
  </si>
  <si>
    <t xml:space="preserve">tract_0037</t>
  </si>
  <si>
    <t xml:space="preserve">https://www.google.com/maps/@?api=1&amp;map_action=pano&amp;viewpoint=41.4113466536383,2.14114636598878</t>
  </si>
  <si>
    <t xml:space="preserve">tract_0038</t>
  </si>
  <si>
    <t xml:space="preserve">https://www.google.com/maps/@?api=1&amp;map_action=pano&amp;viewpoint=41.426135711319,2.17240513302861</t>
  </si>
  <si>
    <t xml:space="preserve">tract_0039</t>
  </si>
  <si>
    <t xml:space="preserve">https://www.google.com/maps/@?api=1&amp;map_action=pano&amp;viewpoint=41.4375909606213,2.17558434676366</t>
  </si>
  <si>
    <t xml:space="preserve">tract_0040</t>
  </si>
  <si>
    <t xml:space="preserve">https://www.google.com/maps/@?api=1&amp;map_action=pano&amp;viewpoint=41.4283525000278,2.172146050328</t>
  </si>
  <si>
    <t xml:space="preserve">https://www.google.com/maps/@?api=1&amp;map_action=pano&amp;viewpoint=41.3762841412853,2.12497775693313</t>
  </si>
  <si>
    <t xml:space="preserve">https://www.google.com/maps/@?api=1&amp;map_action=pano&amp;viewpoint=41.3747198157894,2.13175238117479</t>
  </si>
  <si>
    <t xml:space="preserve">https://www.google.com/maps/@?api=1&amp;map_action=pano&amp;viewpoint=41.4130107880215,2.17998387981679</t>
  </si>
  <si>
    <t xml:space="preserve">https://www.google.com/maps/@?api=1&amp;map_action=pano&amp;viewpoint=41.3837233079119,2.13746672328433</t>
  </si>
  <si>
    <t xml:space="preserve">https://www.google.com/maps/@?api=1&amp;map_action=pano&amp;viewpoint=41.4180150021324,2.18877627141089</t>
  </si>
  <si>
    <t xml:space="preserve">tract_0048</t>
  </si>
  <si>
    <t xml:space="preserve">https://www.google.com/maps/@?api=1&amp;map_action=pano&amp;viewpoint=41.4143767531686,2.18247199757422</t>
  </si>
  <si>
    <t xml:space="preserve">https://www.google.com/maps/@?api=1&amp;map_action=pano&amp;viewpoint=41.3829948804712,2.14940742253693</t>
  </si>
  <si>
    <t xml:space="preserve">https://www.google.com/maps/@?api=1&amp;map_action=pano&amp;viewpoint=41.3773656033948,2.15472807927131</t>
  </si>
  <si>
    <t xml:space="preserve">https://www.google.com/maps/@?api=1&amp;map_action=pano&amp;viewpoint=41.3828585874194,2.1482642373602</t>
  </si>
  <si>
    <t xml:space="preserve">tract_0053</t>
  </si>
  <si>
    <t xml:space="preserve">https://www.google.com/maps/@?api=1&amp;map_action=pano&amp;viewpoint=41.3776990081599,2.18875595645417</t>
  </si>
  <si>
    <t xml:space="preserve">tract_0054</t>
  </si>
  <si>
    <t xml:space="preserve">https://www.google.com/maps/@?api=1&amp;map_action=pano&amp;viewpoint=41.3799261629063,2.1592791307784</t>
  </si>
  <si>
    <t xml:space="preserve">city_tag</t>
  </si>
  <si>
    <t xml:space="preserve">coder_id</t>
  </si>
  <si>
    <t xml:space="preserve">barcelona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</si>
</sst>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CEBFA"/>
        <bgColor rgb="FFE4F8D2"/>
      </patternFill>
    </fill>
    <fill>
      <patternFill patternType="solid">
        <fgColor rgb="FFFFF4C2"/>
        <bgColor rgb="FFFFFF99"/>
      </patternFill>
    </fill>
    <fill>
      <patternFill patternType="solid">
        <fgColor rgb="FFE4F8D2"/>
        <bgColor rgb="FFFFF4C2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4C2"/>
      <rgbColor rgb="FFDCEB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4F8D2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A5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Z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V54" activeCellId="1" sqref="I1:T2 V54"/>
    </sheetView>
  </sheetViews>
  <sheetFormatPr defaultColWidth="10.6796875" defaultRowHeight="15" zeroHeight="false" outlineLevelRow="0" outlineLevelCol="0"/>
  <cols>
    <col collapsed="false" customWidth="true" hidden="false" outlineLevel="0" max="26" min="1" style="1" width="13.71"/>
  </cols>
  <sheetData>
    <row r="1" customFormat="false" ht="15" hidden="false" customHeight="false" outlineLevel="0" collapsed="false">
      <c r="I1" s="2" t="s">
        <v>0</v>
      </c>
      <c r="J1" s="2"/>
      <c r="K1" s="2"/>
      <c r="L1" s="2"/>
      <c r="M1" s="2"/>
      <c r="N1" s="2"/>
      <c r="O1" s="2"/>
      <c r="P1" s="2" t="s">
        <v>1</v>
      </c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3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5" t="s">
        <v>14</v>
      </c>
      <c r="N2" s="5" t="s">
        <v>15</v>
      </c>
      <c r="O2" s="5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5" t="s">
        <v>21</v>
      </c>
      <c r="U2" s="5" t="s">
        <v>22</v>
      </c>
      <c r="V2" s="5" t="s">
        <v>23</v>
      </c>
      <c r="W2" s="6" t="s">
        <v>24</v>
      </c>
      <c r="X2" s="7" t="s">
        <v>25</v>
      </c>
      <c r="Y2" s="7" t="s">
        <v>26</v>
      </c>
      <c r="Z2" s="7" t="s">
        <v>27</v>
      </c>
    </row>
    <row r="3" customFormat="false" ht="15" hidden="false" customHeight="false" outlineLevel="0" collapsed="false">
      <c r="A3" s="1" t="n">
        <v>1</v>
      </c>
      <c r="B3" s="1" t="s">
        <v>28</v>
      </c>
      <c r="C3" s="1" t="s">
        <v>29</v>
      </c>
      <c r="D3" s="1" t="s">
        <v>30</v>
      </c>
      <c r="E3" s="1" t="n">
        <v>2.11211089874738</v>
      </c>
      <c r="F3" s="1" t="n">
        <v>41.3909679997347</v>
      </c>
      <c r="G3" s="1" t="s">
        <v>31</v>
      </c>
      <c r="H3" s="3" t="str">
        <f aca="false">HYPERLINK("https://www.google.com/maps/@?api=1&amp;map_action=pano&amp;viewpoint=41.3909679997347,2.11211089874738","Open GSV")</f>
        <v>Open GSV</v>
      </c>
      <c r="I3" s="7"/>
      <c r="J3" s="7"/>
      <c r="K3" s="7"/>
      <c r="L3" s="7"/>
      <c r="M3" s="8" t="n">
        <v>2022</v>
      </c>
      <c r="N3" s="8" t="n">
        <v>1</v>
      </c>
      <c r="O3" s="8" t="n">
        <v>1</v>
      </c>
      <c r="P3" s="7" t="n">
        <v>0</v>
      </c>
      <c r="Q3" s="7" t="n">
        <v>5</v>
      </c>
      <c r="R3" s="7" t="n">
        <v>0</v>
      </c>
      <c r="S3" s="7" t="n">
        <v>4</v>
      </c>
      <c r="T3" s="7"/>
      <c r="U3" s="7"/>
      <c r="V3" s="7"/>
      <c r="W3" s="8" t="s">
        <v>32</v>
      </c>
      <c r="X3" s="1" t="n">
        <f aca="false">IF(AND(I3="",K3=""),IF(N3&lt;&gt;"",N3,""),IF(AND(I3&lt;&gt;"",K3=""),I3,IF(AND(I3="",K3&lt;&gt;""),K3,IF(ABS(J3-1)&lt;=ABS(13-L3),I3,K3))))</f>
        <v>1</v>
      </c>
      <c r="Y3" s="1" t="n">
        <f aca="false">IF(AND(P3="",R3=""),IF(U3&lt;&gt;"",U3,""),IF(AND(P3&lt;&gt;"",R3=""),P3,IF(AND(P3="",R3&lt;&gt;""),R3,IF(ABS(Q3-1)&lt;=ABS(13-S3),P3,R3))))</f>
        <v>0</v>
      </c>
      <c r="Z3" s="1" t="str">
        <f aca="false">IF(OR(X3="",Y3=""),"",IF(B3="ADD",IF(AND(Y3=0,X3=1),"TRUE","FALSE"),IF(B3="REMOVE",IF(AND(Y3=1,X3=0),"TRUE","FALSE"),IF(B3="NONCI",IF(AND(Y3=0,X3=0),"TRUE","FALSE"),""))))</f>
        <v>TRUE</v>
      </c>
    </row>
    <row r="4" customFormat="false" ht="15" hidden="false" customHeight="false" outlineLevel="0" collapsed="false">
      <c r="A4" s="1" t="n">
        <v>2</v>
      </c>
      <c r="B4" s="1" t="s">
        <v>28</v>
      </c>
      <c r="C4" s="1" t="s">
        <v>33</v>
      </c>
      <c r="D4" s="1" t="s">
        <v>30</v>
      </c>
      <c r="E4" s="1" t="n">
        <v>2.18031012416</v>
      </c>
      <c r="F4" s="1" t="n">
        <v>41.4581456267453</v>
      </c>
      <c r="G4" s="1" t="s">
        <v>34</v>
      </c>
      <c r="H4" s="3" t="str">
        <f aca="false">HYPERLINK("https://www.google.com/maps/@?api=1&amp;map_action=pano&amp;viewpoint=41.4581456267453,2.18031012416","Open GSV")</f>
        <v>Open GSV</v>
      </c>
      <c r="I4" s="7" t="n">
        <v>1</v>
      </c>
      <c r="J4" s="7" t="n">
        <v>8</v>
      </c>
      <c r="K4" s="7" t="n">
        <v>1</v>
      </c>
      <c r="L4" s="7" t="n">
        <v>3</v>
      </c>
      <c r="M4" s="7"/>
      <c r="N4" s="7"/>
      <c r="O4" s="7"/>
      <c r="P4" s="7" t="n">
        <v>1</v>
      </c>
      <c r="Q4" s="7" t="n">
        <v>3</v>
      </c>
      <c r="R4" s="7" t="n">
        <v>1</v>
      </c>
      <c r="S4" s="7" t="n">
        <v>7</v>
      </c>
      <c r="T4" s="7"/>
      <c r="U4" s="7"/>
      <c r="V4" s="7"/>
      <c r="W4" s="8" t="s">
        <v>35</v>
      </c>
      <c r="X4" s="1" t="n">
        <f aca="false">IF(AND(I4="",K4=""),IF(N4&lt;&gt;"",N4,""),IF(AND(I4&lt;&gt;"",K4=""),I4,IF(AND(I4="",K4&lt;&gt;""),K4,IF(ABS(J4-1)&lt;=ABS(13-L4),I4,K4))))</f>
        <v>1</v>
      </c>
      <c r="Y4" s="1" t="n">
        <f aca="false">IF(AND(P4="",R4=""),IF(U4&lt;&gt;"",U4,""),IF(AND(P4&lt;&gt;"",R4=""),P4,IF(AND(P4="",R4&lt;&gt;""),R4,IF(ABS(Q4-1)&lt;=ABS(13-S4),P4,R4))))</f>
        <v>1</v>
      </c>
      <c r="Z4" s="1" t="str">
        <f aca="false">IF(OR(X4="",Y4=""),"",IF(B4="ADD",IF(AND(Y4=0,X4=1),"TRUE","FALSE"),IF(B4="REMOVE",IF(AND(Y4=1,X4=0),"TRUE","FALSE"),IF(B4="NONCI",IF(AND(Y4=0,X4=0),"TRUE","FALSE"),""))))</f>
        <v>FALSE</v>
      </c>
    </row>
    <row r="5" customFormat="false" ht="15" hidden="false" customHeight="false" outlineLevel="0" collapsed="false">
      <c r="A5" s="1" t="n">
        <v>3</v>
      </c>
      <c r="B5" s="1" t="s">
        <v>28</v>
      </c>
      <c r="C5" s="1" t="s">
        <v>36</v>
      </c>
      <c r="D5" s="1" t="s">
        <v>30</v>
      </c>
      <c r="E5" s="1" t="n">
        <v>2.14085269668676</v>
      </c>
      <c r="F5" s="1" t="n">
        <v>41.4134215995416</v>
      </c>
      <c r="G5" s="1" t="s">
        <v>37</v>
      </c>
      <c r="H5" s="3" t="str">
        <f aca="false">HYPERLINK("https://www.google.com/maps/@?api=1&amp;map_action=pano&amp;viewpoint=41.4134215995416,2.14085269668676","Open GSV")</f>
        <v>Open GSV</v>
      </c>
      <c r="I5" s="7" t="n">
        <v>1</v>
      </c>
      <c r="J5" s="7" t="n">
        <v>9</v>
      </c>
      <c r="K5" s="7"/>
      <c r="L5" s="7"/>
      <c r="M5" s="8" t="n">
        <v>2022</v>
      </c>
      <c r="N5" s="8" t="n">
        <v>1</v>
      </c>
      <c r="O5" s="8" t="n">
        <v>2</v>
      </c>
      <c r="P5" s="7" t="n">
        <v>0</v>
      </c>
      <c r="Q5" s="7" t="n">
        <v>6</v>
      </c>
      <c r="R5" s="7" t="n">
        <v>0</v>
      </c>
      <c r="S5" s="7" t="n">
        <v>4</v>
      </c>
      <c r="T5" s="7"/>
      <c r="U5" s="7"/>
      <c r="V5" s="7"/>
      <c r="W5" s="8" t="s">
        <v>38</v>
      </c>
      <c r="X5" s="1" t="n">
        <f aca="false">IF(AND(I5="",K5=""),IF(N5&lt;&gt;"",N5,""),IF(AND(I5&lt;&gt;"",K5=""),I5,IF(AND(I5="",K5&lt;&gt;""),K5,IF(ABS(J5-1)&lt;=ABS(13-L5),I5,K5))))</f>
        <v>1</v>
      </c>
      <c r="Y5" s="1" t="n">
        <f aca="false">IF(AND(P5="",R5=""),IF(U5&lt;&gt;"",U5,""),IF(AND(P5&lt;&gt;"",R5=""),P5,IF(AND(P5="",R5&lt;&gt;""),R5,IF(ABS(Q5-1)&lt;=ABS(13-S5),P5,R5))))</f>
        <v>0</v>
      </c>
      <c r="Z5" s="1" t="str">
        <f aca="false">IF(OR(X5="",Y5=""),"",IF(B5="ADD",IF(AND(Y5=0,X5=1),"TRUE","FALSE"),IF(B5="REMOVE",IF(AND(Y5=1,X5=0),"TRUE","FALSE"),IF(B5="NONCI",IF(AND(Y5=0,X5=0),"TRUE","FALSE"),""))))</f>
        <v>TRUE</v>
      </c>
    </row>
    <row r="6" customFormat="false" ht="15" hidden="false" customHeight="false" outlineLevel="0" collapsed="false">
      <c r="A6" s="1" t="n">
        <v>4</v>
      </c>
      <c r="B6" s="1" t="s">
        <v>28</v>
      </c>
      <c r="C6" s="1" t="s">
        <v>39</v>
      </c>
      <c r="D6" s="1" t="s">
        <v>30</v>
      </c>
      <c r="E6" s="1" t="n">
        <v>2.20113165987653</v>
      </c>
      <c r="F6" s="1" t="n">
        <v>41.4262832087554</v>
      </c>
      <c r="G6" s="1" t="s">
        <v>40</v>
      </c>
      <c r="H6" s="3" t="str">
        <f aca="false">HYPERLINK("https://www.google.com/maps/@?api=1&amp;map_action=pano&amp;viewpoint=41.4262832087554,2.20113165987653","Open GSV")</f>
        <v>Open GSV</v>
      </c>
      <c r="I6" s="7" t="n">
        <v>1</v>
      </c>
      <c r="J6" s="7" t="n">
        <v>7</v>
      </c>
      <c r="K6" s="7" t="n">
        <v>1</v>
      </c>
      <c r="L6" s="7" t="n">
        <v>3</v>
      </c>
      <c r="M6" s="7"/>
      <c r="N6" s="7"/>
      <c r="O6" s="7"/>
      <c r="P6" s="7" t="n">
        <v>0</v>
      </c>
      <c r="Q6" s="7" t="n">
        <v>4</v>
      </c>
      <c r="R6" s="7" t="n">
        <v>0</v>
      </c>
      <c r="S6" s="7" t="n">
        <v>6</v>
      </c>
      <c r="T6" s="7"/>
      <c r="U6" s="7"/>
      <c r="V6" s="7"/>
      <c r="W6" s="7"/>
      <c r="X6" s="1" t="n">
        <f aca="false">IF(AND(I6="",K6=""),IF(N6&lt;&gt;"",N6,""),IF(AND(I6&lt;&gt;"",K6=""),I6,IF(AND(I6="",K6&lt;&gt;""),K6,IF(ABS(J6-1)&lt;=ABS(13-L6),I6,K6))))</f>
        <v>1</v>
      </c>
      <c r="Y6" s="1" t="n">
        <f aca="false">IF(AND(P6="",R6=""),IF(U6&lt;&gt;"",U6,""),IF(AND(P6&lt;&gt;"",R6=""),P6,IF(AND(P6="",R6&lt;&gt;""),R6,IF(ABS(Q6-1)&lt;=ABS(13-S6),P6,R6))))</f>
        <v>0</v>
      </c>
      <c r="Z6" s="1" t="str">
        <f aca="false">IF(OR(X6="",Y6=""),"",IF(B6="ADD",IF(AND(Y6=0,X6=1),"TRUE","FALSE"),IF(B6="REMOVE",IF(AND(Y6=1,X6=0),"TRUE","FALSE"),IF(B6="NONCI",IF(AND(Y6=0,X6=0),"TRUE","FALSE"),""))))</f>
        <v>TRUE</v>
      </c>
    </row>
    <row r="7" customFormat="false" ht="15" hidden="false" customHeight="false" outlineLevel="0" collapsed="false">
      <c r="A7" s="1" t="n">
        <v>5</v>
      </c>
      <c r="B7" s="1" t="s">
        <v>28</v>
      </c>
      <c r="C7" s="1" t="s">
        <v>39</v>
      </c>
      <c r="D7" s="1" t="s">
        <v>30</v>
      </c>
      <c r="E7" s="1" t="n">
        <v>2.2001190522901</v>
      </c>
      <c r="F7" s="1" t="n">
        <v>41.4260327049088</v>
      </c>
      <c r="G7" s="1" t="s">
        <v>41</v>
      </c>
      <c r="H7" s="3" t="str">
        <f aca="false">HYPERLINK("https://www.google.com/maps/@?api=1&amp;map_action=pano&amp;viewpoint=41.4260327049088,2.2001190522901","Open GSV")</f>
        <v>Open GSV</v>
      </c>
      <c r="I7" s="7" t="n">
        <v>1</v>
      </c>
      <c r="J7" s="7" t="n">
        <v>8</v>
      </c>
      <c r="K7" s="7" t="n">
        <v>1</v>
      </c>
      <c r="L7" s="7" t="n">
        <v>3</v>
      </c>
      <c r="M7" s="7"/>
      <c r="N7" s="7"/>
      <c r="O7" s="7"/>
      <c r="P7" s="7" t="n">
        <v>0</v>
      </c>
      <c r="Q7" s="7" t="n">
        <v>4</v>
      </c>
      <c r="R7" s="7" t="n">
        <v>0</v>
      </c>
      <c r="S7" s="7" t="n">
        <v>6</v>
      </c>
      <c r="T7" s="7"/>
      <c r="U7" s="7"/>
      <c r="V7" s="7"/>
      <c r="W7" s="8" t="s">
        <v>42</v>
      </c>
      <c r="X7" s="1" t="n">
        <f aca="false">IF(AND(I7="",K7=""),IF(N7&lt;&gt;"",N7,""),IF(AND(I7&lt;&gt;"",K7=""),I7,IF(AND(I7="",K7&lt;&gt;""),K7,IF(ABS(J7-1)&lt;=ABS(13-L7),I7,K7))))</f>
        <v>1</v>
      </c>
      <c r="Y7" s="1" t="n">
        <f aca="false">IF(AND(P7="",R7=""),IF(U7&lt;&gt;"",U7,""),IF(AND(P7&lt;&gt;"",R7=""),P7,IF(AND(P7="",R7&lt;&gt;""),R7,IF(ABS(Q7-1)&lt;=ABS(13-S7),P7,R7))))</f>
        <v>0</v>
      </c>
      <c r="Z7" s="1" t="str">
        <f aca="false">IF(OR(X7="",Y7=""),"",IF(B7="ADD",IF(AND(Y7=0,X7=1),"TRUE","FALSE"),IF(B7="REMOVE",IF(AND(Y7=1,X7=0),"TRUE","FALSE"),IF(B7="NONCI",IF(AND(Y7=0,X7=0),"TRUE","FALSE"),""))))</f>
        <v>TRUE</v>
      </c>
    </row>
    <row r="8" customFormat="false" ht="15" hidden="false" customHeight="false" outlineLevel="0" collapsed="false">
      <c r="A8" s="1" t="n">
        <v>6</v>
      </c>
      <c r="B8" s="1" t="s">
        <v>28</v>
      </c>
      <c r="C8" s="1" t="s">
        <v>43</v>
      </c>
      <c r="D8" s="1" t="s">
        <v>44</v>
      </c>
      <c r="E8" s="1" t="n">
        <v>2.134757401236</v>
      </c>
      <c r="F8" s="1" t="n">
        <v>41.3899636143591</v>
      </c>
      <c r="G8" s="1" t="s">
        <v>45</v>
      </c>
      <c r="H8" s="3" t="str">
        <f aca="false">HYPERLINK("https://www.google.com/maps/@?api=1&amp;map_action=pano&amp;viewpoint=41.3899636143591,2.134757401236","Open GSV")</f>
        <v>Open GSV</v>
      </c>
      <c r="I8" s="7" t="n">
        <v>0</v>
      </c>
      <c r="J8" s="7" t="n">
        <v>7</v>
      </c>
      <c r="K8" s="7" t="n">
        <v>0</v>
      </c>
      <c r="L8" s="7" t="n">
        <v>7</v>
      </c>
      <c r="M8" s="7"/>
      <c r="N8" s="7"/>
      <c r="O8" s="7"/>
      <c r="P8" s="7" t="n">
        <v>0</v>
      </c>
      <c r="Q8" s="7" t="n">
        <v>4</v>
      </c>
      <c r="R8" s="7" t="n">
        <v>0</v>
      </c>
      <c r="S8" s="7" t="n">
        <v>4</v>
      </c>
      <c r="T8" s="7"/>
      <c r="U8" s="7"/>
      <c r="V8" s="7"/>
      <c r="W8" s="8" t="s">
        <v>46</v>
      </c>
      <c r="X8" s="1" t="n">
        <f aca="false">IF(AND(I8="",K8=""),IF(N8&lt;&gt;"",N8,""),IF(AND(I8&lt;&gt;"",K8=""),I8,IF(AND(I8="",K8&lt;&gt;""),K8,IF(ABS(J8-1)&lt;=ABS(13-L8),I8,K8))))</f>
        <v>0</v>
      </c>
      <c r="Y8" s="1" t="n">
        <f aca="false">IF(AND(P8="",R8=""),IF(U8&lt;&gt;"",U8,""),IF(AND(P8&lt;&gt;"",R8=""),P8,IF(AND(P8="",R8&lt;&gt;""),R8,IF(ABS(Q8-1)&lt;=ABS(13-S8),P8,R8))))</f>
        <v>0</v>
      </c>
      <c r="Z8" s="1" t="str">
        <f aca="false">IF(OR(X8="",Y8=""),"",IF(B8="ADD",IF(AND(Y8=0,X8=1),"TRUE","FALSE"),IF(B8="REMOVE",IF(AND(Y8=1,X8=0),"TRUE","FALSE"),IF(B8="NONCI",IF(AND(Y8=0,X8=0),"TRUE","FALSE"),""))))</f>
        <v>FALSE</v>
      </c>
    </row>
    <row r="9" customFormat="false" ht="15" hidden="false" customHeight="false" outlineLevel="0" collapsed="false">
      <c r="A9" s="1" t="n">
        <v>7</v>
      </c>
      <c r="B9" s="1" t="s">
        <v>28</v>
      </c>
      <c r="C9" s="1" t="s">
        <v>43</v>
      </c>
      <c r="D9" s="1" t="s">
        <v>44</v>
      </c>
      <c r="E9" s="1" t="n">
        <v>2.13402755812854</v>
      </c>
      <c r="F9" s="1" t="n">
        <v>41.3881854073843</v>
      </c>
      <c r="G9" s="1" t="s">
        <v>47</v>
      </c>
      <c r="H9" s="3" t="str">
        <f aca="false">HYPERLINK("https://www.google.com/maps/@?api=1&amp;map_action=pano&amp;viewpoint=41.3881854073843,2.13402755812854","Open GSV")</f>
        <v>Open GSV</v>
      </c>
      <c r="I9" s="7"/>
      <c r="J9" s="7"/>
      <c r="K9" s="7"/>
      <c r="L9" s="7"/>
      <c r="M9" s="7" t="n">
        <v>2022</v>
      </c>
      <c r="N9" s="7" t="n">
        <v>1</v>
      </c>
      <c r="O9" s="7" t="n">
        <v>1</v>
      </c>
      <c r="P9" s="7" t="n">
        <v>0</v>
      </c>
      <c r="Q9" s="7" t="n">
        <v>6</v>
      </c>
      <c r="R9" s="7" t="n">
        <v>0</v>
      </c>
      <c r="S9" s="7" t="n">
        <v>5</v>
      </c>
      <c r="T9" s="7"/>
      <c r="U9" s="7"/>
      <c r="V9" s="7"/>
      <c r="W9" s="7"/>
      <c r="X9" s="1" t="n">
        <f aca="false">IF(AND(I9="",K9=""),IF(N9&lt;&gt;"",N9,""),IF(AND(I9&lt;&gt;"",K9=""),I9,IF(AND(I9="",K9&lt;&gt;""),K9,IF(ABS(J9-1)&lt;=ABS(13-L9),I9,K9))))</f>
        <v>1</v>
      </c>
      <c r="Y9" s="1" t="n">
        <f aca="false">IF(AND(P9="",R9=""),IF(U9&lt;&gt;"",U9,""),IF(AND(P9&lt;&gt;"",R9=""),P9,IF(AND(P9="",R9&lt;&gt;""),R9,IF(ABS(Q9-1)&lt;=ABS(13-S9),P9,R9))))</f>
        <v>0</v>
      </c>
      <c r="Z9" s="1" t="str">
        <f aca="false">IF(OR(X9="",Y9=""),"",IF(B9="ADD",IF(AND(Y9=0,X9=1),"TRUE","FALSE"),IF(B9="REMOVE",IF(AND(Y9=1,X9=0),"TRUE","FALSE"),IF(B9="NONCI",IF(AND(Y9=0,X9=0),"TRUE","FALSE"),""))))</f>
        <v>TRUE</v>
      </c>
    </row>
    <row r="10" customFormat="false" ht="15" hidden="false" customHeight="false" outlineLevel="0" collapsed="false">
      <c r="A10" s="1" t="n">
        <v>8</v>
      </c>
      <c r="B10" s="1" t="s">
        <v>28</v>
      </c>
      <c r="C10" s="1" t="s">
        <v>48</v>
      </c>
      <c r="D10" s="1" t="s">
        <v>44</v>
      </c>
      <c r="E10" s="1" t="n">
        <v>2.19881673887713</v>
      </c>
      <c r="F10" s="1" t="n">
        <v>41.4168121764961</v>
      </c>
      <c r="G10" s="1" t="s">
        <v>49</v>
      </c>
      <c r="H10" s="3" t="str">
        <f aca="false">HYPERLINK("https://www.google.com/maps/@?api=1&amp;map_action=pano&amp;viewpoint=41.4168121764961,2.19881673887713","Open GSV")</f>
        <v>Open GSV</v>
      </c>
      <c r="I10" s="7" t="n">
        <v>1</v>
      </c>
      <c r="J10" s="7" t="n">
        <v>8</v>
      </c>
      <c r="K10" s="7" t="n">
        <v>1</v>
      </c>
      <c r="L10" s="7" t="n">
        <v>3</v>
      </c>
      <c r="M10" s="7"/>
      <c r="N10" s="7"/>
      <c r="O10" s="7"/>
      <c r="P10" s="7"/>
      <c r="Q10" s="7"/>
      <c r="R10" s="7"/>
      <c r="S10" s="7"/>
      <c r="T10" s="7" t="n">
        <v>2014</v>
      </c>
      <c r="U10" s="7" t="n">
        <v>0</v>
      </c>
      <c r="V10" s="7" t="n">
        <v>10</v>
      </c>
      <c r="W10" s="7"/>
      <c r="X10" s="1" t="n">
        <f aca="false">IF(AND(I10="",K10=""),IF(N10&lt;&gt;"",N10,""),IF(AND(I10&lt;&gt;"",K10=""),I10,IF(AND(I10="",K10&lt;&gt;""),K10,IF(ABS(J10-1)&lt;=ABS(13-L10),I10,K10))))</f>
        <v>1</v>
      </c>
      <c r="Y10" s="1" t="n">
        <f aca="false">IF(AND(P10="",R10=""),IF(U10&lt;&gt;"",U10,""),IF(AND(P10&lt;&gt;"",R10=""),P10,IF(AND(P10="",R10&lt;&gt;""),R10,IF(ABS(Q10-1)&lt;=ABS(13-S10),P10,R10))))</f>
        <v>0</v>
      </c>
      <c r="Z10" s="1" t="str">
        <f aca="false">IF(OR(X10="",Y10=""),"",IF(B10="ADD",IF(AND(Y10=0,X10=1),"TRUE","FALSE"),IF(B10="REMOVE",IF(AND(Y10=1,X10=0),"TRUE","FALSE"),IF(B10="NONCI",IF(AND(Y10=0,X10=0),"TRUE","FALSE"),""))))</f>
        <v>TRUE</v>
      </c>
    </row>
    <row r="11" customFormat="false" ht="15" hidden="false" customHeight="false" outlineLevel="0" collapsed="false">
      <c r="A11" s="1" t="n">
        <v>9</v>
      </c>
      <c r="B11" s="1" t="s">
        <v>28</v>
      </c>
      <c r="C11" s="1" t="s">
        <v>50</v>
      </c>
      <c r="D11" s="1" t="s">
        <v>44</v>
      </c>
      <c r="E11" s="1" t="n">
        <v>2.17461017557639</v>
      </c>
      <c r="F11" s="1" t="n">
        <v>41.4168653577514</v>
      </c>
      <c r="G11" s="1" t="s">
        <v>51</v>
      </c>
      <c r="H11" s="3" t="str">
        <f aca="false">HYPERLINK("https://www.google.com/maps/@?api=1&amp;map_action=pano&amp;viewpoint=41.4168653577514,2.17461017557639","Open GSV")</f>
        <v>Open GSV</v>
      </c>
      <c r="I11" s="7" t="n">
        <v>1</v>
      </c>
      <c r="J11" s="7" t="n">
        <v>7</v>
      </c>
      <c r="K11" s="7" t="n">
        <v>1</v>
      </c>
      <c r="L11" s="7" t="n">
        <v>3</v>
      </c>
      <c r="M11" s="7"/>
      <c r="N11" s="7"/>
      <c r="O11" s="7"/>
      <c r="P11" s="7" t="n">
        <v>0</v>
      </c>
      <c r="Q11" s="7" t="n">
        <v>4</v>
      </c>
      <c r="R11" s="7" t="n">
        <v>0</v>
      </c>
      <c r="S11" s="7" t="n">
        <v>7</v>
      </c>
      <c r="T11" s="7"/>
      <c r="U11" s="7"/>
      <c r="V11" s="7"/>
      <c r="W11" s="7"/>
      <c r="X11" s="1" t="n">
        <f aca="false">IF(AND(I11="",K11=""),IF(N11&lt;&gt;"",N11,""),IF(AND(I11&lt;&gt;"",K11=""),I11,IF(AND(I11="",K11&lt;&gt;""),K11,IF(ABS(J11-1)&lt;=ABS(13-L11),I11,K11))))</f>
        <v>1</v>
      </c>
      <c r="Y11" s="1" t="n">
        <f aca="false">IF(AND(P11="",R11=""),IF(U11&lt;&gt;"",U11,""),IF(AND(P11&lt;&gt;"",R11=""),P11,IF(AND(P11="",R11&lt;&gt;""),R11,IF(ABS(Q11-1)&lt;=ABS(13-S11),P11,R11))))</f>
        <v>0</v>
      </c>
      <c r="Z11" s="1" t="str">
        <f aca="false">IF(OR(X11="",Y11=""),"",IF(B11="ADD",IF(AND(Y11=0,X11=1),"TRUE","FALSE"),IF(B11="REMOVE",IF(AND(Y11=1,X11=0),"TRUE","FALSE"),IF(B11="NONCI",IF(AND(Y11=0,X11=0),"TRUE","FALSE"),""))))</f>
        <v>TRUE</v>
      </c>
    </row>
    <row r="12" customFormat="false" ht="15" hidden="false" customHeight="false" outlineLevel="0" collapsed="false">
      <c r="A12" s="1" t="n">
        <v>10</v>
      </c>
      <c r="B12" s="1" t="s">
        <v>28</v>
      </c>
      <c r="C12" s="1" t="s">
        <v>50</v>
      </c>
      <c r="D12" s="1" t="s">
        <v>44</v>
      </c>
      <c r="E12" s="1" t="n">
        <v>2.17205102853822</v>
      </c>
      <c r="F12" s="1" t="n">
        <v>41.414975730964</v>
      </c>
      <c r="G12" s="1" t="s">
        <v>52</v>
      </c>
      <c r="H12" s="3" t="str">
        <f aca="false">HYPERLINK("https://www.google.com/maps/@?api=1&amp;map_action=pano&amp;viewpoint=41.414975730964,2.17205102853822","Open GSV")</f>
        <v>Open GSV</v>
      </c>
      <c r="I12" s="7"/>
      <c r="J12" s="7"/>
      <c r="K12" s="7" t="n">
        <v>1</v>
      </c>
      <c r="L12" s="7" t="n">
        <v>3</v>
      </c>
      <c r="M12" s="7"/>
      <c r="N12" s="7"/>
      <c r="O12" s="7"/>
      <c r="P12" s="7" t="n">
        <v>0</v>
      </c>
      <c r="Q12" s="7" t="n">
        <v>4</v>
      </c>
      <c r="R12" s="7" t="n">
        <v>0</v>
      </c>
      <c r="S12" s="7" t="n">
        <v>3</v>
      </c>
      <c r="T12" s="7"/>
      <c r="U12" s="7"/>
      <c r="V12" s="7"/>
      <c r="W12" s="8" t="s">
        <v>53</v>
      </c>
      <c r="Z12" s="1" t="str">
        <f aca="false">IF(OR(X12="",Y12=""),"",IF(B12="ADD",IF(AND(Y12=0,X12=1),"TRUE","FALSE"),IF(B12="REMOVE",IF(AND(Y12=1,X12=0),"TRUE","FALSE"),IF(B12="NONCI",IF(AND(Y12=0,X12=0),"TRUE","FALSE"),""))))</f>
        <v/>
      </c>
    </row>
    <row r="13" customFormat="false" ht="15" hidden="false" customHeight="false" outlineLevel="0" collapsed="false">
      <c r="A13" s="1" t="n">
        <v>11</v>
      </c>
      <c r="B13" s="1" t="s">
        <v>28</v>
      </c>
      <c r="C13" s="1" t="s">
        <v>54</v>
      </c>
      <c r="D13" s="1" t="s">
        <v>44</v>
      </c>
      <c r="E13" s="1" t="n">
        <v>2.2075546110796</v>
      </c>
      <c r="F13" s="1" t="n">
        <v>41.4204481302083</v>
      </c>
      <c r="G13" s="1" t="s">
        <v>55</v>
      </c>
      <c r="H13" s="3" t="str">
        <f aca="false">HYPERLINK("https://www.google.com/maps/@?api=1&amp;map_action=pano&amp;viewpoint=41.4204481302083,2.2075546110796","Open GSV")</f>
        <v>Open GSV</v>
      </c>
      <c r="I13" s="7" t="n">
        <v>1</v>
      </c>
      <c r="J13" s="7" t="n">
        <v>8</v>
      </c>
      <c r="K13" s="7" t="n">
        <v>1</v>
      </c>
      <c r="L13" s="7" t="n">
        <v>10</v>
      </c>
      <c r="M13" s="7"/>
      <c r="N13" s="7"/>
      <c r="O13" s="7"/>
      <c r="P13" s="7" t="n">
        <v>1</v>
      </c>
      <c r="Q13" s="7" t="n">
        <v>4</v>
      </c>
      <c r="R13" s="7" t="n">
        <v>1</v>
      </c>
      <c r="S13" s="7" t="n">
        <v>8</v>
      </c>
      <c r="T13" s="7"/>
      <c r="U13" s="7"/>
      <c r="V13" s="7"/>
      <c r="W13" s="7"/>
      <c r="X13" s="1" t="n">
        <f aca="false">IF(AND(I13="",K13=""),IF(N13&lt;&gt;"",N13,""),IF(AND(I13&lt;&gt;"",K13=""),I13,IF(AND(I13="",K13&lt;&gt;""),K13,IF(ABS(J13-1)&lt;=ABS(13-L13),I13,K13))))</f>
        <v>1</v>
      </c>
      <c r="Y13" s="1" t="n">
        <f aca="false">IF(AND(P13="",R13=""),IF(U13&lt;&gt;"",U13,""),IF(AND(P13&lt;&gt;"",R13=""),P13,IF(AND(P13="",R13&lt;&gt;""),R13,IF(ABS(Q13-1)&lt;=ABS(13-S13),P13,R13))))</f>
        <v>1</v>
      </c>
      <c r="Z13" s="1" t="str">
        <f aca="false">IF(OR(X13="",Y13=""),"",IF(B13="ADD",IF(AND(Y13=0,X13=1),"TRUE","FALSE"),IF(B13="REMOVE",IF(AND(Y13=1,X13=0),"TRUE","FALSE"),IF(B13="NONCI",IF(AND(Y13=0,X13=0),"TRUE","FALSE"),""))))</f>
        <v>FALSE</v>
      </c>
    </row>
    <row r="14" customFormat="false" ht="15" hidden="false" customHeight="false" outlineLevel="0" collapsed="false">
      <c r="A14" s="1" t="n">
        <v>12</v>
      </c>
      <c r="B14" s="1" t="s">
        <v>28</v>
      </c>
      <c r="C14" s="1" t="s">
        <v>54</v>
      </c>
      <c r="D14" s="1" t="s">
        <v>44</v>
      </c>
      <c r="E14" s="1" t="n">
        <v>2.20794256929774</v>
      </c>
      <c r="F14" s="1" t="n">
        <v>41.4202454258576</v>
      </c>
      <c r="G14" s="1" t="s">
        <v>56</v>
      </c>
      <c r="H14" s="3" t="str">
        <f aca="false">HYPERLINK("https://www.google.com/maps/@?api=1&amp;map_action=pano&amp;viewpoint=41.4202454258576,2.20794256929774","Open GSV")</f>
        <v>Open GSV</v>
      </c>
      <c r="I14" s="7" t="n">
        <v>1</v>
      </c>
      <c r="J14" s="7" t="n">
        <v>8</v>
      </c>
      <c r="K14" s="7" t="n">
        <v>1</v>
      </c>
      <c r="L14" s="7" t="n">
        <v>10</v>
      </c>
      <c r="M14" s="7"/>
      <c r="N14" s="7"/>
      <c r="O14" s="7"/>
      <c r="P14" s="7" t="n">
        <v>1</v>
      </c>
      <c r="Q14" s="7" t="n">
        <v>4</v>
      </c>
      <c r="R14" s="7" t="n">
        <v>1</v>
      </c>
      <c r="S14" s="7" t="n">
        <v>8</v>
      </c>
      <c r="T14" s="7"/>
      <c r="U14" s="7"/>
      <c r="V14" s="7"/>
      <c r="W14" s="7"/>
      <c r="X14" s="1" t="n">
        <f aca="false">IF(AND(I14="",K14=""),IF(N14&lt;&gt;"",N14,""),IF(AND(I14&lt;&gt;"",K14=""),I14,IF(AND(I14="",K14&lt;&gt;""),K14,IF(ABS(J14-1)&lt;=ABS(13-L14),I14,K14))))</f>
        <v>1</v>
      </c>
      <c r="Y14" s="1" t="n">
        <f aca="false">IF(AND(P14="",R14=""),IF(U14&lt;&gt;"",U14,""),IF(AND(P14&lt;&gt;"",R14=""),P14,IF(AND(P14="",R14&lt;&gt;""),R14,IF(ABS(Q14-1)&lt;=ABS(13-S14),P14,R14))))</f>
        <v>1</v>
      </c>
      <c r="Z14" s="1" t="str">
        <f aca="false">IF(OR(X14="",Y14=""),"",IF(B14="ADD",IF(AND(Y14=0,X14=1),"TRUE","FALSE"),IF(B14="REMOVE",IF(AND(Y14=1,X14=0),"TRUE","FALSE"),IF(B14="NONCI",IF(AND(Y14=0,X14=0),"TRUE","FALSE"),""))))</f>
        <v>FALSE</v>
      </c>
    </row>
    <row r="15" customFormat="false" ht="15" hidden="false" customHeight="false" outlineLevel="0" collapsed="false">
      <c r="A15" s="1" t="n">
        <v>13</v>
      </c>
      <c r="B15" s="1" t="s">
        <v>28</v>
      </c>
      <c r="C15" s="1" t="s">
        <v>57</v>
      </c>
      <c r="D15" s="1" t="s">
        <v>44</v>
      </c>
      <c r="E15" s="1" t="n">
        <v>2.16098092184219</v>
      </c>
      <c r="F15" s="1" t="n">
        <v>41.4121092794043</v>
      </c>
      <c r="G15" s="1" t="s">
        <v>58</v>
      </c>
      <c r="H15" s="3" t="str">
        <f aca="false">HYPERLINK("https://www.google.com/maps/@?api=1&amp;map_action=pano&amp;viewpoint=41.4121092794043,2.16098092184219","Open GSV")</f>
        <v>Open GSV</v>
      </c>
      <c r="I15" s="7" t="n">
        <v>1</v>
      </c>
      <c r="J15" s="7" t="n">
        <v>9</v>
      </c>
      <c r="K15" s="7" t="n">
        <v>1</v>
      </c>
      <c r="L15" s="7" t="n">
        <v>3</v>
      </c>
      <c r="M15" s="7"/>
      <c r="N15" s="7"/>
      <c r="O15" s="7"/>
      <c r="P15" s="7" t="n">
        <v>0</v>
      </c>
      <c r="Q15" s="7" t="n">
        <v>4</v>
      </c>
      <c r="R15" s="7" t="n">
        <v>0</v>
      </c>
      <c r="S15" s="7" t="n">
        <v>4</v>
      </c>
      <c r="T15" s="7"/>
      <c r="U15" s="7"/>
      <c r="V15" s="7"/>
      <c r="W15" s="7"/>
      <c r="X15" s="1" t="n">
        <f aca="false">IF(AND(I15="",K15=""),IF(N15&lt;&gt;"",N15,""),IF(AND(I15&lt;&gt;"",K15=""),I15,IF(AND(I15="",K15&lt;&gt;""),K15,IF(ABS(J15-1)&lt;=ABS(13-L15),I15,K15))))</f>
        <v>1</v>
      </c>
      <c r="Y15" s="1" t="n">
        <f aca="false">IF(AND(P15="",R15=""),IF(U15&lt;&gt;"",U15,""),IF(AND(P15&lt;&gt;"",R15=""),P15,IF(AND(P15="",R15&lt;&gt;""),R15,IF(ABS(Q15-1)&lt;=ABS(13-S15),P15,R15))))</f>
        <v>0</v>
      </c>
      <c r="Z15" s="1" t="str">
        <f aca="false">IF(OR(X15="",Y15=""),"",IF(B15="ADD",IF(AND(Y15=0,X15=1),"TRUE","FALSE"),IF(B15="REMOVE",IF(AND(Y15=1,X15=0),"TRUE","FALSE"),IF(B15="NONCI",IF(AND(Y15=0,X15=0),"TRUE","FALSE"),""))))</f>
        <v>TRUE</v>
      </c>
    </row>
    <row r="16" customFormat="false" ht="15" hidden="false" customHeight="false" outlineLevel="0" collapsed="false">
      <c r="A16" s="1" t="n">
        <v>14</v>
      </c>
      <c r="B16" s="1" t="s">
        <v>28</v>
      </c>
      <c r="C16" s="1" t="s">
        <v>57</v>
      </c>
      <c r="D16" s="1" t="s">
        <v>44</v>
      </c>
      <c r="E16" s="1" t="n">
        <v>2.16175831110785</v>
      </c>
      <c r="F16" s="1" t="n">
        <v>41.4125465819168</v>
      </c>
      <c r="G16" s="1" t="s">
        <v>59</v>
      </c>
      <c r="H16" s="3" t="str">
        <f aca="false">HYPERLINK("https://www.google.com/maps/@?api=1&amp;map_action=pano&amp;viewpoint=41.4125465819168,2.16175831110785","Open GSV")</f>
        <v>Open GSV</v>
      </c>
      <c r="I16" s="7" t="n">
        <v>1</v>
      </c>
      <c r="J16" s="7" t="n">
        <v>9</v>
      </c>
      <c r="K16" s="7" t="n">
        <v>1</v>
      </c>
      <c r="L16" s="7" t="n">
        <v>3</v>
      </c>
      <c r="M16" s="7"/>
      <c r="N16" s="7"/>
      <c r="O16" s="7"/>
      <c r="P16" s="7" t="n">
        <v>0</v>
      </c>
      <c r="Q16" s="7" t="n">
        <v>4</v>
      </c>
      <c r="R16" s="7" t="n">
        <v>0</v>
      </c>
      <c r="S16" s="7" t="n">
        <v>8</v>
      </c>
      <c r="T16" s="7"/>
      <c r="U16" s="7"/>
      <c r="V16" s="7"/>
      <c r="W16" s="8" t="s">
        <v>60</v>
      </c>
      <c r="X16" s="1" t="n">
        <f aca="false">IF(AND(I16="",K16=""),IF(N16&lt;&gt;"",N16,""),IF(AND(I16&lt;&gt;"",K16=""),I16,IF(AND(I16="",K16&lt;&gt;""),K16,IF(ABS(J16-1)&lt;=ABS(13-L16),I16,K16))))</f>
        <v>1</v>
      </c>
      <c r="Y16" s="1" t="n">
        <f aca="false">IF(AND(P16="",R16=""),IF(U16&lt;&gt;"",U16,""),IF(AND(P16&lt;&gt;"",R16=""),P16,IF(AND(P16="",R16&lt;&gt;""),R16,IF(ABS(Q16-1)&lt;=ABS(13-S16),P16,R16))))</f>
        <v>0</v>
      </c>
      <c r="Z16" s="1" t="str">
        <f aca="false">IF(OR(X16="",Y16=""),"",IF(B16="ADD",IF(AND(Y16=0,X16=1),"TRUE","FALSE"),IF(B16="REMOVE",IF(AND(Y16=1,X16=0),"TRUE","FALSE"),IF(B16="NONCI",IF(AND(Y16=0,X16=0),"TRUE","FALSE"),""))))</f>
        <v>TRUE</v>
      </c>
    </row>
    <row r="17" customFormat="false" ht="15" hidden="false" customHeight="false" outlineLevel="0" collapsed="false">
      <c r="A17" s="1" t="n">
        <v>15</v>
      </c>
      <c r="B17" s="1" t="s">
        <v>28</v>
      </c>
      <c r="C17" s="1" t="s">
        <v>61</v>
      </c>
      <c r="D17" s="1" t="s">
        <v>62</v>
      </c>
      <c r="E17" s="1" t="n">
        <v>2.20077256303846</v>
      </c>
      <c r="F17" s="1" t="n">
        <v>41.3945206907087</v>
      </c>
      <c r="G17" s="1" t="s">
        <v>63</v>
      </c>
      <c r="H17" s="3" t="str">
        <f aca="false">HYPERLINK("https://www.google.com/maps/@?api=1&amp;map_action=pano&amp;viewpoint=41.3945206907087,2.20077256303846","Open GSV")</f>
        <v>Open GSV</v>
      </c>
      <c r="I17" s="7" t="n">
        <v>1</v>
      </c>
      <c r="J17" s="7" t="n">
        <v>7</v>
      </c>
      <c r="K17" s="7" t="n">
        <v>1</v>
      </c>
      <c r="L17" s="7" t="n">
        <v>3</v>
      </c>
      <c r="M17" s="7"/>
      <c r="N17" s="7"/>
      <c r="O17" s="7"/>
      <c r="P17" s="7" t="n">
        <v>0</v>
      </c>
      <c r="Q17" s="7" t="n">
        <v>4</v>
      </c>
      <c r="R17" s="7" t="n">
        <v>0</v>
      </c>
      <c r="S17" s="7" t="n">
        <v>4</v>
      </c>
      <c r="T17" s="7"/>
      <c r="U17" s="7"/>
      <c r="V17" s="7"/>
      <c r="W17" s="8" t="s">
        <v>60</v>
      </c>
      <c r="X17" s="1" t="n">
        <f aca="false">IF(AND(I17="",K17=""),IF(N17&lt;&gt;"",N17,""),IF(AND(I17&lt;&gt;"",K17=""),I17,IF(AND(I17="",K17&lt;&gt;""),K17,IF(ABS(J17-1)&lt;=ABS(13-L17),I17,K17))))</f>
        <v>1</v>
      </c>
      <c r="Y17" s="1" t="n">
        <f aca="false">IF(AND(P17="",R17=""),IF(U17&lt;&gt;"",U17,""),IF(AND(P17&lt;&gt;"",R17=""),P17,IF(AND(P17="",R17&lt;&gt;""),R17,IF(ABS(Q17-1)&lt;=ABS(13-S17),P17,R17))))</f>
        <v>0</v>
      </c>
      <c r="Z17" s="1" t="str">
        <f aca="false">IF(OR(X17="",Y17=""),"",IF(B17="ADD",IF(AND(Y17=0,X17=1),"TRUE","FALSE"),IF(B17="REMOVE",IF(AND(Y17=1,X17=0),"TRUE","FALSE"),IF(B17="NONCI",IF(AND(Y17=0,X17=0),"TRUE","FALSE"),""))))</f>
        <v>TRUE</v>
      </c>
    </row>
    <row r="18" customFormat="false" ht="15" hidden="false" customHeight="false" outlineLevel="0" collapsed="false">
      <c r="A18" s="1" t="n">
        <v>16</v>
      </c>
      <c r="B18" s="1" t="s">
        <v>28</v>
      </c>
      <c r="C18" s="1" t="s">
        <v>61</v>
      </c>
      <c r="D18" s="1" t="s">
        <v>62</v>
      </c>
      <c r="E18" s="1" t="n">
        <v>2.20100922656311</v>
      </c>
      <c r="F18" s="1" t="n">
        <v>41.394718915396</v>
      </c>
      <c r="G18" s="1" t="s">
        <v>64</v>
      </c>
      <c r="H18" s="3" t="str">
        <f aca="false">HYPERLINK("https://www.google.com/maps/@?api=1&amp;map_action=pano&amp;viewpoint=41.394718915396,2.20100922656311","Open GSV")</f>
        <v>Open GSV</v>
      </c>
      <c r="I18" s="7" t="n">
        <v>1</v>
      </c>
      <c r="J18" s="7" t="n">
        <v>7</v>
      </c>
      <c r="K18" s="7" t="n">
        <v>1</v>
      </c>
      <c r="L18" s="7" t="n">
        <v>3</v>
      </c>
      <c r="M18" s="7"/>
      <c r="N18" s="7"/>
      <c r="O18" s="7"/>
      <c r="P18" s="7" t="n">
        <v>0</v>
      </c>
      <c r="Q18" s="7" t="n">
        <v>4</v>
      </c>
      <c r="R18" s="7" t="n">
        <v>0</v>
      </c>
      <c r="S18" s="7" t="n">
        <v>4</v>
      </c>
      <c r="T18" s="7"/>
      <c r="U18" s="7"/>
      <c r="V18" s="7"/>
      <c r="W18" s="7"/>
      <c r="X18" s="1" t="n">
        <f aca="false">IF(AND(I18="",K18=""),IF(N18&lt;&gt;"",N18,""),IF(AND(I18&lt;&gt;"",K18=""),I18,IF(AND(I18="",K18&lt;&gt;""),K18,IF(ABS(J18-1)&lt;=ABS(13-L18),I18,K18))))</f>
        <v>1</v>
      </c>
      <c r="Y18" s="1" t="n">
        <f aca="false">IF(AND(P18="",R18=""),IF(U18&lt;&gt;"",U18,""),IF(AND(P18&lt;&gt;"",R18=""),P18,IF(AND(P18="",R18&lt;&gt;""),R18,IF(ABS(Q18-1)&lt;=ABS(13-S18),P18,R18))))</f>
        <v>0</v>
      </c>
      <c r="Z18" s="1" t="str">
        <f aca="false">IF(OR(X18="",Y18=""),"",IF(B18="ADD",IF(AND(Y18=0,X18=1),"TRUE","FALSE"),IF(B18="REMOVE",IF(AND(Y18=1,X18=0),"TRUE","FALSE"),IF(B18="NONCI",IF(AND(Y18=0,X18=0),"TRUE","FALSE"),""))))</f>
        <v>TRUE</v>
      </c>
    </row>
    <row r="19" customFormat="false" ht="15" hidden="false" customHeight="false" outlineLevel="0" collapsed="false">
      <c r="A19" s="1" t="n">
        <v>17</v>
      </c>
      <c r="B19" s="1" t="s">
        <v>28</v>
      </c>
      <c r="C19" s="1" t="s">
        <v>65</v>
      </c>
      <c r="D19" s="1" t="s">
        <v>62</v>
      </c>
      <c r="E19" s="1" t="n">
        <v>2.14515055931621</v>
      </c>
      <c r="F19" s="1" t="n">
        <v>41.3762241357195</v>
      </c>
      <c r="G19" s="1" t="s">
        <v>66</v>
      </c>
      <c r="H19" s="3" t="str">
        <f aca="false">HYPERLINK("https://www.google.com/maps/@?api=1&amp;map_action=pano&amp;viewpoint=41.3762241357195,2.14515055931621","Open GSV")</f>
        <v>Open GSV</v>
      </c>
      <c r="I19" s="7"/>
      <c r="J19" s="7"/>
      <c r="K19" s="7" t="n">
        <v>1</v>
      </c>
      <c r="L19" s="7" t="n">
        <v>3</v>
      </c>
      <c r="M19" s="7"/>
      <c r="N19" s="7"/>
      <c r="O19" s="7"/>
      <c r="P19" s="7" t="n">
        <v>0</v>
      </c>
      <c r="Q19" s="7" t="n">
        <v>7</v>
      </c>
      <c r="R19" s="7" t="n">
        <v>0</v>
      </c>
      <c r="S19" s="7" t="n">
        <v>4</v>
      </c>
      <c r="T19" s="7"/>
      <c r="U19" s="7"/>
      <c r="V19" s="7"/>
      <c r="W19" s="7"/>
      <c r="X19" s="1" t="n">
        <f aca="false">IF(AND(I19="",K19=""),IF(N19&lt;&gt;"",N19,""),IF(AND(I19&lt;&gt;"",K19=""),I19,IF(AND(I19="",K19&lt;&gt;""),K19,IF(ABS(J19-1)&lt;=ABS(13-L19),I19,K19))))</f>
        <v>1</v>
      </c>
      <c r="Y19" s="1" t="n">
        <f aca="false">IF(AND(P19="",R19=""),IF(U19&lt;&gt;"",U19,""),IF(AND(P19&lt;&gt;"",R19=""),P19,IF(AND(P19="",R19&lt;&gt;""),R19,IF(ABS(Q19-1)&lt;=ABS(13-S19),P19,R19))))</f>
        <v>0</v>
      </c>
      <c r="Z19" s="1" t="str">
        <f aca="false">IF(OR(X19="",Y19=""),"",IF(B19="ADD",IF(AND(Y19=0,X19=1),"TRUE","FALSE"),IF(B19="REMOVE",IF(AND(Y19=1,X19=0),"TRUE","FALSE"),IF(B19="NONCI",IF(AND(Y19=0,X19=0),"TRUE","FALSE"),""))))</f>
        <v>TRUE</v>
      </c>
    </row>
    <row r="20" customFormat="false" ht="15" hidden="false" customHeight="false" outlineLevel="0" collapsed="false">
      <c r="A20" s="1" t="n">
        <v>18</v>
      </c>
      <c r="B20" s="1" t="s">
        <v>28</v>
      </c>
      <c r="C20" s="1" t="s">
        <v>65</v>
      </c>
      <c r="D20" s="1" t="s">
        <v>62</v>
      </c>
      <c r="E20" s="1" t="n">
        <v>2.14559167922172</v>
      </c>
      <c r="F20" s="1" t="n">
        <v>41.3764134914288</v>
      </c>
      <c r="G20" s="1" t="s">
        <v>67</v>
      </c>
      <c r="H20" s="3" t="str">
        <f aca="false">HYPERLINK("https://www.google.com/maps/@?api=1&amp;map_action=pano&amp;viewpoint=41.3764134914288,2.14559167922172","Open GSV")</f>
        <v>Open GSV</v>
      </c>
      <c r="I20" s="7"/>
      <c r="J20" s="7"/>
      <c r="K20" s="7" t="n">
        <v>1</v>
      </c>
      <c r="L20" s="7" t="n">
        <v>3</v>
      </c>
      <c r="M20" s="7"/>
      <c r="N20" s="7"/>
      <c r="O20" s="7"/>
      <c r="P20" s="7" t="n">
        <v>0</v>
      </c>
      <c r="Q20" s="7" t="n">
        <v>7</v>
      </c>
      <c r="R20" s="7" t="n">
        <v>0</v>
      </c>
      <c r="S20" s="7" t="n">
        <v>4</v>
      </c>
      <c r="T20" s="7"/>
      <c r="U20" s="7"/>
      <c r="V20" s="7"/>
      <c r="W20" s="7"/>
      <c r="X20" s="1" t="n">
        <f aca="false">IF(AND(I20="",K20=""),IF(N20&lt;&gt;"",N20,""),IF(AND(I20&lt;&gt;"",K20=""),I20,IF(AND(I20="",K20&lt;&gt;""),K20,IF(ABS(J20-1)&lt;=ABS(13-L20),I20,K20))))</f>
        <v>1</v>
      </c>
      <c r="Y20" s="1" t="n">
        <f aca="false">IF(AND(P20="",R20=""),IF(U20&lt;&gt;"",U20,""),IF(AND(P20&lt;&gt;"",R20=""),P20,IF(AND(P20="",R20&lt;&gt;""),R20,IF(ABS(Q20-1)&lt;=ABS(13-S20),P20,R20))))</f>
        <v>0</v>
      </c>
      <c r="Z20" s="1" t="str">
        <f aca="false">IF(OR(X20="",Y20=""),"",IF(B20="ADD",IF(AND(Y20=0,X20=1),"TRUE","FALSE"),IF(B20="REMOVE",IF(AND(Y20=1,X20=0),"TRUE","FALSE"),IF(B20="NONCI",IF(AND(Y20=0,X20=0),"TRUE","FALSE"),""))))</f>
        <v>TRUE</v>
      </c>
    </row>
    <row r="21" customFormat="false" ht="15" hidden="false" customHeight="false" outlineLevel="0" collapsed="false">
      <c r="A21" s="1" t="n">
        <v>19</v>
      </c>
      <c r="B21" s="1" t="s">
        <v>28</v>
      </c>
      <c r="C21" s="1" t="s">
        <v>68</v>
      </c>
      <c r="D21" s="1" t="s">
        <v>62</v>
      </c>
      <c r="E21" s="1" t="n">
        <v>2.18284748138898</v>
      </c>
      <c r="F21" s="1" t="n">
        <v>41.4055753756871</v>
      </c>
      <c r="G21" s="1" t="s">
        <v>69</v>
      </c>
      <c r="H21" s="3" t="str">
        <f aca="false">HYPERLINK("https://www.google.com/maps/@?api=1&amp;map_action=pano&amp;viewpoint=41.4055753756871,2.18284748138898","Open GSV")</f>
        <v>Open GSV</v>
      </c>
      <c r="I21" s="7" t="n">
        <v>1</v>
      </c>
      <c r="J21" s="7" t="n">
        <v>8</v>
      </c>
      <c r="K21" s="7" t="n">
        <v>1</v>
      </c>
      <c r="L21" s="7" t="n">
        <v>11</v>
      </c>
      <c r="M21" s="7"/>
      <c r="N21" s="7"/>
      <c r="O21" s="7"/>
      <c r="P21" s="7" t="n">
        <v>0</v>
      </c>
      <c r="Q21" s="7" t="n">
        <v>4</v>
      </c>
      <c r="R21" s="7" t="n">
        <v>0</v>
      </c>
      <c r="S21" s="7" t="n">
        <v>8</v>
      </c>
      <c r="T21" s="7"/>
      <c r="U21" s="7"/>
      <c r="V21" s="7"/>
      <c r="W21" s="7"/>
      <c r="X21" s="1" t="n">
        <f aca="false">IF(AND(I21="",K21=""),IF(N21&lt;&gt;"",N21,""),IF(AND(I21&lt;&gt;"",K21=""),I21,IF(AND(I21="",K21&lt;&gt;""),K21,IF(ABS(J21-1)&lt;=ABS(13-L21),I21,K21))))</f>
        <v>1</v>
      </c>
      <c r="Y21" s="1" t="n">
        <f aca="false">IF(AND(P21="",R21=""),IF(U21&lt;&gt;"",U21,""),IF(AND(P21&lt;&gt;"",R21=""),P21,IF(AND(P21="",R21&lt;&gt;""),R21,IF(ABS(Q21-1)&lt;=ABS(13-S21),P21,R21))))</f>
        <v>0</v>
      </c>
      <c r="Z21" s="1" t="str">
        <f aca="false">IF(OR(X21="",Y21=""),"",IF(B21="ADD",IF(AND(Y21=0,X21=1),"TRUE","FALSE"),IF(B21="REMOVE",IF(AND(Y21=1,X21=0),"TRUE","FALSE"),IF(B21="NONCI",IF(AND(Y21=0,X21=0),"TRUE","FALSE"),""))))</f>
        <v>TRUE</v>
      </c>
    </row>
    <row r="22" customFormat="false" ht="15" hidden="false" customHeight="false" outlineLevel="0" collapsed="false">
      <c r="A22" s="1" t="n">
        <v>20</v>
      </c>
      <c r="B22" s="1" t="s">
        <v>28</v>
      </c>
      <c r="C22" s="1" t="s">
        <v>68</v>
      </c>
      <c r="D22" s="1" t="s">
        <v>62</v>
      </c>
      <c r="E22" s="1" t="n">
        <v>2.18285971742863</v>
      </c>
      <c r="F22" s="1" t="n">
        <v>41.403094880684</v>
      </c>
      <c r="G22" s="1" t="s">
        <v>70</v>
      </c>
      <c r="H22" s="3" t="str">
        <f aca="false">HYPERLINK("https://www.google.com/maps/@?api=1&amp;map_action=pano&amp;viewpoint=41.403094880684,2.18285971742863","Open GSV")</f>
        <v>Open GSV</v>
      </c>
      <c r="I22" s="7" t="n">
        <v>1</v>
      </c>
      <c r="J22" s="7" t="n">
        <v>8</v>
      </c>
      <c r="K22" s="7" t="n">
        <v>1</v>
      </c>
      <c r="L22" s="7" t="n">
        <v>3</v>
      </c>
      <c r="M22" s="7"/>
      <c r="N22" s="7"/>
      <c r="O22" s="7"/>
      <c r="P22" s="7" t="n">
        <v>0</v>
      </c>
      <c r="Q22" s="7" t="n">
        <v>4</v>
      </c>
      <c r="R22" s="7" t="n">
        <v>0</v>
      </c>
      <c r="S22" s="7" t="n">
        <v>4</v>
      </c>
      <c r="T22" s="7"/>
      <c r="U22" s="7"/>
      <c r="V22" s="7"/>
      <c r="W22" s="7"/>
      <c r="X22" s="1" t="n">
        <f aca="false">IF(AND(I22="",K22=""),IF(N22&lt;&gt;"",N22,""),IF(AND(I22&lt;&gt;"",K22=""),I22,IF(AND(I22="",K22&lt;&gt;""),K22,IF(ABS(J22-1)&lt;=ABS(13-L22),I22,K22))))</f>
        <v>1</v>
      </c>
      <c r="Y22" s="1" t="n">
        <f aca="false">IF(AND(P22="",R22=""),IF(U22&lt;&gt;"",U22,""),IF(AND(P22&lt;&gt;"",R22=""),P22,IF(AND(P22="",R22&lt;&gt;""),R22,IF(ABS(Q22-1)&lt;=ABS(13-S22),P22,R22))))</f>
        <v>0</v>
      </c>
      <c r="Z22" s="1" t="str">
        <f aca="false">IF(OR(X22="",Y22=""),"",IF(B22="ADD",IF(AND(Y22=0,X22=1),"TRUE","FALSE"),IF(B22="REMOVE",IF(AND(Y22=1,X22=0),"TRUE","FALSE"),IF(B22="NONCI",IF(AND(Y22=0,X22=0),"TRUE","FALSE"),""))))</f>
        <v>TRUE</v>
      </c>
    </row>
    <row r="23" customFormat="false" ht="15" hidden="false" customHeight="false" outlineLevel="0" collapsed="false">
      <c r="A23" s="1" t="n">
        <v>21</v>
      </c>
      <c r="B23" s="1" t="s">
        <v>28</v>
      </c>
      <c r="C23" s="1" t="s">
        <v>71</v>
      </c>
      <c r="D23" s="1" t="s">
        <v>72</v>
      </c>
      <c r="E23" s="1" t="n">
        <v>2.17585558557915</v>
      </c>
      <c r="F23" s="1" t="n">
        <v>41.4287555466715</v>
      </c>
      <c r="G23" s="1" t="s">
        <v>73</v>
      </c>
      <c r="H23" s="3" t="str">
        <f aca="false">HYPERLINK("https://www.google.com/maps/@?api=1&amp;map_action=pano&amp;viewpoint=41.4287555466715,2.17585558557915","Open GSV")</f>
        <v>Open GSV</v>
      </c>
      <c r="I23" s="7"/>
      <c r="J23" s="7"/>
      <c r="K23" s="7" t="n">
        <v>1</v>
      </c>
      <c r="L23" s="7" t="n">
        <v>3</v>
      </c>
      <c r="M23" s="7"/>
      <c r="N23" s="7"/>
      <c r="O23" s="7"/>
      <c r="P23" s="7"/>
      <c r="Q23" s="7"/>
      <c r="R23" s="7" t="n">
        <v>1</v>
      </c>
      <c r="S23" s="7" t="n">
        <v>6</v>
      </c>
      <c r="T23" s="7"/>
      <c r="U23" s="7"/>
      <c r="V23" s="7"/>
      <c r="W23" s="7"/>
      <c r="X23" s="1" t="n">
        <f aca="false">IF(AND(I23="",K23=""),IF(N23&lt;&gt;"",N23,""),IF(AND(I23&lt;&gt;"",K23=""),I23,IF(AND(I23="",K23&lt;&gt;""),K23,IF(ABS(J23-1)&lt;=ABS(13-L23),I23,K23))))</f>
        <v>1</v>
      </c>
      <c r="Y23" s="1" t="n">
        <f aca="false">IF(AND(P23="",R23=""),IF(U23&lt;&gt;"",U23,""),IF(AND(P23&lt;&gt;"",R23=""),P23,IF(AND(P23="",R23&lt;&gt;""),R23,IF(ABS(Q23-1)&lt;=ABS(13-S23),P23,R23))))</f>
        <v>1</v>
      </c>
      <c r="Z23" s="1" t="str">
        <f aca="false">IF(OR(X23="",Y23=""),"",IF(B23="ADD",IF(AND(Y23=0,X23=1),"TRUE","FALSE"),IF(B23="REMOVE",IF(AND(Y23=1,X23=0),"TRUE","FALSE"),IF(B23="NONCI",IF(AND(Y23=0,X23=0),"TRUE","FALSE"),""))))</f>
        <v>FALSE</v>
      </c>
    </row>
    <row r="24" customFormat="false" ht="15" hidden="false" customHeight="false" outlineLevel="0" collapsed="false">
      <c r="A24" s="1" t="n">
        <v>22</v>
      </c>
      <c r="B24" s="1" t="s">
        <v>28</v>
      </c>
      <c r="C24" s="1" t="s">
        <v>74</v>
      </c>
      <c r="D24" s="1" t="s">
        <v>72</v>
      </c>
      <c r="E24" s="1" t="n">
        <v>2.19083141351904</v>
      </c>
      <c r="F24" s="1" t="n">
        <v>41.4409954760919</v>
      </c>
      <c r="G24" s="1" t="s">
        <v>75</v>
      </c>
      <c r="H24" s="3" t="str">
        <f aca="false">HYPERLINK("https://www.google.com/maps/@?api=1&amp;map_action=pano&amp;viewpoint=41.4409954760919,2.19083141351904","Open GSV")</f>
        <v>Open GSV</v>
      </c>
      <c r="I24" s="7" t="n">
        <v>1</v>
      </c>
      <c r="J24" s="7" t="n">
        <v>7</v>
      </c>
      <c r="K24" s="7" t="n">
        <v>1</v>
      </c>
      <c r="L24" s="7" t="n">
        <v>3</v>
      </c>
      <c r="M24" s="7"/>
      <c r="N24" s="7"/>
      <c r="O24" s="7"/>
      <c r="P24" s="7" t="n">
        <v>1</v>
      </c>
      <c r="Q24" s="7" t="n">
        <v>5</v>
      </c>
      <c r="R24" s="7" t="n">
        <v>1</v>
      </c>
      <c r="S24" s="7" t="n">
        <v>7</v>
      </c>
      <c r="T24" s="7"/>
      <c r="U24" s="7"/>
      <c r="V24" s="7"/>
      <c r="W24" s="7"/>
      <c r="X24" s="1" t="n">
        <f aca="false">IF(AND(I24="",K24=""),IF(N24&lt;&gt;"",N24,""),IF(AND(I24&lt;&gt;"",K24=""),I24,IF(AND(I24="",K24&lt;&gt;""),K24,IF(ABS(J24-1)&lt;=ABS(13-L24),I24,K24))))</f>
        <v>1</v>
      </c>
      <c r="Y24" s="1" t="n">
        <f aca="false">IF(AND(P24="",R24=""),IF(U24&lt;&gt;"",U24,""),IF(AND(P24&lt;&gt;"",R24=""),P24,IF(AND(P24="",R24&lt;&gt;""),R24,IF(ABS(Q24-1)&lt;=ABS(13-S24),P24,R24))))</f>
        <v>1</v>
      </c>
      <c r="Z24" s="1" t="str">
        <f aca="false">IF(OR(X24="",Y24=""),"",IF(B24="ADD",IF(AND(Y24=0,X24=1),"TRUE","FALSE"),IF(B24="REMOVE",IF(AND(Y24=1,X24=0),"TRUE","FALSE"),IF(B24="NONCI",IF(AND(Y24=0,X24=0),"TRUE","FALSE"),""))))</f>
        <v>FALSE</v>
      </c>
    </row>
    <row r="25" customFormat="false" ht="15" hidden="false" customHeight="false" outlineLevel="0" collapsed="false">
      <c r="A25" s="1" t="n">
        <v>23</v>
      </c>
      <c r="B25" s="1" t="s">
        <v>28</v>
      </c>
      <c r="C25" s="1" t="s">
        <v>76</v>
      </c>
      <c r="D25" s="1" t="s">
        <v>77</v>
      </c>
      <c r="E25" s="1" t="n">
        <v>2.15155610489397</v>
      </c>
      <c r="F25" s="1" t="n">
        <v>41.4003124653889</v>
      </c>
      <c r="G25" s="1" t="s">
        <v>78</v>
      </c>
      <c r="H25" s="3" t="str">
        <f aca="false">HYPERLINK("https://www.google.com/maps/@?api=1&amp;map_action=pano&amp;viewpoint=41.4003124653889,2.15155610489397","Open GSV")</f>
        <v>Open GSV</v>
      </c>
      <c r="I25" s="7" t="n">
        <v>1</v>
      </c>
      <c r="J25" s="7" t="n">
        <v>9</v>
      </c>
      <c r="K25" s="7" t="n">
        <v>1</v>
      </c>
      <c r="L25" s="7" t="n">
        <v>3</v>
      </c>
      <c r="M25" s="7"/>
      <c r="N25" s="7"/>
      <c r="O25" s="7"/>
      <c r="P25" s="7" t="n">
        <v>0</v>
      </c>
      <c r="Q25" s="7" t="n">
        <v>6</v>
      </c>
      <c r="R25" s="7" t="n">
        <v>0</v>
      </c>
      <c r="S25" s="7" t="n">
        <v>4</v>
      </c>
      <c r="T25" s="7"/>
      <c r="U25" s="7"/>
      <c r="V25" s="7"/>
      <c r="W25" s="7"/>
      <c r="X25" s="1" t="n">
        <f aca="false">IF(AND(I25="",K25=""),IF(N25&lt;&gt;"",N25,""),IF(AND(I25&lt;&gt;"",K25=""),I25,IF(AND(I25="",K25&lt;&gt;""),K25,IF(ABS(J25-1)&lt;=ABS(13-L25),I25,K25))))</f>
        <v>1</v>
      </c>
      <c r="Y25" s="1" t="n">
        <f aca="false">IF(AND(P25="",R25=""),IF(U25&lt;&gt;"",U25,""),IF(AND(P25&lt;&gt;"",R25=""),P25,IF(AND(P25="",R25&lt;&gt;""),R25,IF(ABS(Q25-1)&lt;=ABS(13-S25),P25,R25))))</f>
        <v>0</v>
      </c>
      <c r="Z25" s="1" t="str">
        <f aca="false">IF(OR(X25="",Y25=""),"",IF(B25="ADD",IF(AND(Y25=0,X25=1),"TRUE","FALSE"),IF(B25="REMOVE",IF(AND(Y25=1,X25=0),"TRUE","FALSE"),IF(B25="NONCI",IF(AND(Y25=0,X25=0),"TRUE","FALSE"),""))))</f>
        <v>TRUE</v>
      </c>
    </row>
    <row r="26" customFormat="false" ht="15" hidden="false" customHeight="false" outlineLevel="0" collapsed="false">
      <c r="A26" s="1" t="n">
        <v>24</v>
      </c>
      <c r="B26" s="1" t="s">
        <v>28</v>
      </c>
      <c r="C26" s="1" t="s">
        <v>76</v>
      </c>
      <c r="D26" s="1" t="s">
        <v>77</v>
      </c>
      <c r="E26" s="1" t="n">
        <v>2.15153939610418</v>
      </c>
      <c r="F26" s="1" t="n">
        <v>41.400204647767</v>
      </c>
      <c r="G26" s="1" t="s">
        <v>79</v>
      </c>
      <c r="H26" s="3" t="str">
        <f aca="false">HYPERLINK("https://www.google.com/maps/@?api=1&amp;map_action=pano&amp;viewpoint=41.400204647767,2.15153939610418","Open GSV")</f>
        <v>Open GSV</v>
      </c>
      <c r="I26" s="7" t="n">
        <v>1</v>
      </c>
      <c r="J26" s="7" t="n">
        <v>9</v>
      </c>
      <c r="K26" s="7" t="n">
        <v>1</v>
      </c>
      <c r="L26" s="7" t="n">
        <v>3</v>
      </c>
      <c r="M26" s="7"/>
      <c r="N26" s="7"/>
      <c r="O26" s="7"/>
      <c r="P26" s="7" t="n">
        <v>0</v>
      </c>
      <c r="Q26" s="7" t="n">
        <v>6</v>
      </c>
      <c r="R26" s="7" t="n">
        <v>0</v>
      </c>
      <c r="S26" s="7" t="n">
        <v>4</v>
      </c>
      <c r="T26" s="7"/>
      <c r="U26" s="7"/>
      <c r="V26" s="7"/>
      <c r="W26" s="7"/>
      <c r="X26" s="1" t="n">
        <f aca="false">IF(AND(I26="",K26=""),IF(N26&lt;&gt;"",N26,""),IF(AND(I26&lt;&gt;"",K26=""),I26,IF(AND(I26="",K26&lt;&gt;""),K26,IF(ABS(J26-1)&lt;=ABS(13-L26),I26,K26))))</f>
        <v>1</v>
      </c>
      <c r="Y26" s="1" t="n">
        <f aca="false">IF(AND(P26="",R26=""),IF(U26&lt;&gt;"",U26,""),IF(AND(P26&lt;&gt;"",R26=""),P26,IF(AND(P26="",R26&lt;&gt;""),R26,IF(ABS(Q26-1)&lt;=ABS(13-S26),P26,R26))))</f>
        <v>0</v>
      </c>
      <c r="Z26" s="1" t="str">
        <f aca="false">IF(OR(X26="",Y26=""),"",IF(B26="ADD",IF(AND(Y26=0,X26=1),"TRUE","FALSE"),IF(B26="REMOVE",IF(AND(Y26=1,X26=0),"TRUE","FALSE"),IF(B26="NONCI",IF(AND(Y26=0,X26=0),"TRUE","FALSE"),""))))</f>
        <v>TRUE</v>
      </c>
    </row>
    <row r="27" customFormat="false" ht="15" hidden="false" customHeight="false" outlineLevel="0" collapsed="false">
      <c r="A27" s="1" t="n">
        <v>25</v>
      </c>
      <c r="B27" s="1" t="s">
        <v>28</v>
      </c>
      <c r="C27" s="1" t="s">
        <v>80</v>
      </c>
      <c r="D27" s="1" t="s">
        <v>77</v>
      </c>
      <c r="E27" s="1" t="n">
        <v>2.18688350279505</v>
      </c>
      <c r="F27" s="1" t="n">
        <v>41.4130517909949</v>
      </c>
      <c r="G27" s="1" t="s">
        <v>81</v>
      </c>
      <c r="H27" s="3" t="str">
        <f aca="false">HYPERLINK("https://www.google.com/maps/@?api=1&amp;map_action=pano&amp;viewpoint=41.4130517909949,2.18688350279505","Open GSV")</f>
        <v>Open GSV</v>
      </c>
      <c r="I27" s="7" t="n">
        <v>1</v>
      </c>
      <c r="J27" s="7" t="n">
        <v>7</v>
      </c>
      <c r="K27" s="7" t="n">
        <v>1</v>
      </c>
      <c r="L27" s="7" t="n">
        <v>3</v>
      </c>
      <c r="M27" s="7"/>
      <c r="N27" s="7"/>
      <c r="O27" s="7"/>
      <c r="P27" s="7" t="n">
        <v>0</v>
      </c>
      <c r="Q27" s="7" t="n">
        <v>4</v>
      </c>
      <c r="R27" s="7" t="n">
        <v>0</v>
      </c>
      <c r="S27" s="7" t="n">
        <v>4</v>
      </c>
      <c r="T27" s="7"/>
      <c r="U27" s="7"/>
      <c r="V27" s="7"/>
      <c r="W27" s="8" t="s">
        <v>53</v>
      </c>
      <c r="Z27" s="1" t="str">
        <f aca="false">IF(OR(X27="",Y27=""),"",IF(B27="ADD",IF(AND(Y27=0,X27=1),"TRUE","FALSE"),IF(B27="REMOVE",IF(AND(Y27=1,X27=0),"TRUE","FALSE"),IF(B27="NONCI",IF(AND(Y27=0,X27=0),"TRUE","FALSE"),""))))</f>
        <v/>
      </c>
    </row>
    <row r="28" customFormat="false" ht="15" hidden="false" customHeight="false" outlineLevel="0" collapsed="false">
      <c r="A28" s="1" t="n">
        <v>26</v>
      </c>
      <c r="B28" s="1" t="s">
        <v>28</v>
      </c>
      <c r="C28" s="1" t="s">
        <v>80</v>
      </c>
      <c r="D28" s="1" t="s">
        <v>77</v>
      </c>
      <c r="E28" s="1" t="n">
        <v>2.18630763816643</v>
      </c>
      <c r="F28" s="1" t="n">
        <v>41.4140408624214</v>
      </c>
      <c r="G28" s="1" t="s">
        <v>82</v>
      </c>
      <c r="H28" s="3" t="str">
        <f aca="false">HYPERLINK("https://www.google.com/maps/@?api=1&amp;map_action=pano&amp;viewpoint=41.4140408624214,2.18630763816643","Open GSV")</f>
        <v>Open GSV</v>
      </c>
      <c r="I28" s="7" t="n">
        <v>1</v>
      </c>
      <c r="J28" s="7" t="n">
        <v>7</v>
      </c>
      <c r="K28" s="7" t="n">
        <v>1</v>
      </c>
      <c r="L28" s="7" t="n">
        <v>3</v>
      </c>
      <c r="M28" s="7"/>
      <c r="N28" s="7"/>
      <c r="O28" s="7"/>
      <c r="P28" s="7" t="n">
        <v>0</v>
      </c>
      <c r="Q28" s="7" t="n">
        <v>4</v>
      </c>
      <c r="R28" s="7" t="n">
        <v>0</v>
      </c>
      <c r="S28" s="7" t="n">
        <v>4</v>
      </c>
      <c r="T28" s="7"/>
      <c r="U28" s="7"/>
      <c r="V28" s="7"/>
      <c r="W28" s="8" t="s">
        <v>83</v>
      </c>
      <c r="X28" s="1" t="n">
        <f aca="false">IF(AND(I28="",K28=""),IF(N28&lt;&gt;"",N28,""),IF(AND(I28&lt;&gt;"",K28=""),I28,IF(AND(I28="",K28&lt;&gt;""),K28,IF(ABS(J28-1)&lt;=ABS(13-L28),I28,K28))))</f>
        <v>1</v>
      </c>
      <c r="Y28" s="1" t="n">
        <f aca="false">IF(AND(P28="",R28=""),IF(U28&lt;&gt;"",U28,""),IF(AND(P28&lt;&gt;"",R28=""),P28,IF(AND(P28="",R28&lt;&gt;""),R28,IF(ABS(Q28-1)&lt;=ABS(13-S28),P28,R28))))</f>
        <v>0</v>
      </c>
      <c r="Z28" s="1" t="str">
        <f aca="false">IF(OR(X28="",Y28=""),"",IF(B28="ADD",IF(AND(Y28=0,X28=1),"TRUE","FALSE"),IF(B28="REMOVE",IF(AND(Y28=1,X28=0),"TRUE","FALSE"),IF(B28="NONCI",IF(AND(Y28=0,X28=0),"TRUE","FALSE"),""))))</f>
        <v>TRUE</v>
      </c>
    </row>
    <row r="29" customFormat="false" ht="15" hidden="false" customHeight="false" outlineLevel="0" collapsed="false">
      <c r="A29" s="1" t="n">
        <v>27</v>
      </c>
      <c r="B29" s="1" t="s">
        <v>28</v>
      </c>
      <c r="C29" s="1" t="s">
        <v>84</v>
      </c>
      <c r="D29" s="1" t="s">
        <v>77</v>
      </c>
      <c r="E29" s="1" t="n">
        <v>2.13625700853397</v>
      </c>
      <c r="F29" s="1" t="n">
        <v>41.3859805190524</v>
      </c>
      <c r="G29" s="1" t="s">
        <v>85</v>
      </c>
      <c r="H29" s="3" t="str">
        <f aca="false">HYPERLINK("https://www.google.com/maps/@?api=1&amp;map_action=pano&amp;viewpoint=41.3859805190524,2.13625700853397","Open GSV")</f>
        <v>Open GSV</v>
      </c>
      <c r="I29" s="7"/>
      <c r="J29" s="7"/>
      <c r="K29" s="7"/>
      <c r="L29" s="7"/>
      <c r="M29" s="7" t="n">
        <v>2022</v>
      </c>
      <c r="N29" s="7" t="n">
        <v>1</v>
      </c>
      <c r="O29" s="7" t="n">
        <v>1</v>
      </c>
      <c r="P29" s="7" t="n">
        <v>0</v>
      </c>
      <c r="Q29" s="7" t="n">
        <v>6</v>
      </c>
      <c r="R29" s="7" t="n">
        <v>0</v>
      </c>
      <c r="S29" s="7" t="n">
        <v>5</v>
      </c>
      <c r="T29" s="7"/>
      <c r="U29" s="7"/>
      <c r="V29" s="7"/>
      <c r="W29" s="7"/>
      <c r="X29" s="1" t="n">
        <f aca="false">IF(AND(I29="",K29=""),IF(N29&lt;&gt;"",N29,""),IF(AND(I29&lt;&gt;"",K29=""),I29,IF(AND(I29="",K29&lt;&gt;""),K29,IF(ABS(J29-1)&lt;=ABS(13-L29),I29,K29))))</f>
        <v>1</v>
      </c>
      <c r="Y29" s="1" t="n">
        <f aca="false">IF(AND(P29="",R29=""),IF(U29&lt;&gt;"",U29,""),IF(AND(P29&lt;&gt;"",R29=""),P29,IF(AND(P29="",R29&lt;&gt;""),R29,IF(ABS(Q29-1)&lt;=ABS(13-S29),P29,R29))))</f>
        <v>0</v>
      </c>
      <c r="Z29" s="1" t="str">
        <f aca="false">IF(OR(X29="",Y29=""),"",IF(B29="ADD",IF(AND(Y29=0,X29=1),"TRUE","FALSE"),IF(B29="REMOVE",IF(AND(Y29=1,X29=0),"TRUE","FALSE"),IF(B29="NONCI",IF(AND(Y29=0,X29=0),"TRUE","FALSE"),""))))</f>
        <v>TRUE</v>
      </c>
    </row>
    <row r="30" customFormat="false" ht="15" hidden="false" customHeight="false" outlineLevel="0" collapsed="false">
      <c r="A30" s="1" t="n">
        <v>28</v>
      </c>
      <c r="B30" s="1" t="s">
        <v>28</v>
      </c>
      <c r="C30" s="1" t="s">
        <v>84</v>
      </c>
      <c r="D30" s="1" t="s">
        <v>77</v>
      </c>
      <c r="E30" s="1" t="n">
        <v>2.13855858286425</v>
      </c>
      <c r="F30" s="1" t="n">
        <v>41.3852971271454</v>
      </c>
      <c r="G30" s="1" t="s">
        <v>86</v>
      </c>
      <c r="H30" s="3" t="str">
        <f aca="false">HYPERLINK("https://www.google.com/maps/@?api=1&amp;map_action=pano&amp;viewpoint=41.3852971271454,2.13855858286425","Open GSV")</f>
        <v>Open GSV</v>
      </c>
      <c r="I30" s="8"/>
      <c r="J30" s="8"/>
      <c r="K30" s="8"/>
      <c r="L30" s="8"/>
      <c r="M30" s="8" t="n">
        <v>2022</v>
      </c>
      <c r="N30" s="8" t="n">
        <v>1</v>
      </c>
      <c r="O30" s="8" t="n">
        <v>1</v>
      </c>
      <c r="P30" s="8" t="n">
        <v>1</v>
      </c>
      <c r="Q30" s="8" t="n">
        <v>7</v>
      </c>
      <c r="R30" s="8" t="n">
        <v>0</v>
      </c>
      <c r="S30" s="8" t="n">
        <v>4</v>
      </c>
      <c r="T30" s="8"/>
      <c r="U30" s="8"/>
      <c r="V30" s="8"/>
      <c r="W30" s="8"/>
      <c r="X30" s="1" t="n">
        <f aca="false">IF(AND(I30="",K30=""),IF(N30&lt;&gt;"",N30,""),IF(AND(I30&lt;&gt;"",K30=""),I30,IF(AND(I30="",K30&lt;&gt;""),K30,IF(ABS(J30-1)&lt;=ABS(13-L30),I30,K30))))</f>
        <v>1</v>
      </c>
      <c r="Y30" s="1" t="n">
        <f aca="false">IF(AND(P30="",R30=""),IF(U30&lt;&gt;"",U30,""),IF(AND(P30&lt;&gt;"",R30=""),P30,IF(AND(P30="",R30&lt;&gt;""),R30,IF(ABS(Q30-1)&lt;=ABS(13-S30),P30,R30))))</f>
        <v>1</v>
      </c>
      <c r="Z30" s="1" t="str">
        <f aca="false">IF(OR(X30="",Y30=""),"",IF(B30="ADD",IF(AND(Y30=0,X30=1),"TRUE","FALSE"),IF(B30="REMOVE",IF(AND(Y30=1,X30=0),"TRUE","FALSE"),IF(B30="NONCI",IF(AND(Y30=0,X30=0),"TRUE","FALSE"),""))))</f>
        <v>FALSE</v>
      </c>
    </row>
    <row r="31" customFormat="false" ht="15" hidden="false" customHeight="false" outlineLevel="0" collapsed="false">
      <c r="A31" s="1" t="n">
        <v>29</v>
      </c>
      <c r="B31" s="1" t="s">
        <v>28</v>
      </c>
      <c r="C31" s="1" t="s">
        <v>87</v>
      </c>
      <c r="D31" s="1" t="s">
        <v>88</v>
      </c>
      <c r="E31" s="1" t="n">
        <v>2.18642991571189</v>
      </c>
      <c r="F31" s="1" t="n">
        <v>41.3911878676426</v>
      </c>
      <c r="G31" s="1" t="s">
        <v>89</v>
      </c>
      <c r="H31" s="3" t="str">
        <f aca="false">HYPERLINK("https://www.google.com/maps/@?api=1&amp;map_action=pano&amp;viewpoint=41.3911878676426,2.18642991571189","Open GSV")</f>
        <v>Open GSV</v>
      </c>
      <c r="I31" s="7" t="n">
        <v>1</v>
      </c>
      <c r="J31" s="7" t="n">
        <v>7</v>
      </c>
      <c r="K31" s="7"/>
      <c r="L31" s="7"/>
      <c r="M31" s="7"/>
      <c r="N31" s="7"/>
      <c r="O31" s="7"/>
      <c r="P31" s="7" t="n">
        <v>0</v>
      </c>
      <c r="Q31" s="7" t="n">
        <v>4</v>
      </c>
      <c r="R31" s="7" t="n">
        <v>0</v>
      </c>
      <c r="S31" s="7" t="n">
        <v>10</v>
      </c>
      <c r="T31" s="7"/>
      <c r="U31" s="7"/>
      <c r="V31" s="7"/>
      <c r="W31" s="7"/>
      <c r="X31" s="1" t="n">
        <f aca="false">IF(AND(I31="",K31=""),IF(N31&lt;&gt;"",N31,""),IF(AND(I31&lt;&gt;"",K31=""),I31,IF(AND(I31="",K31&lt;&gt;""),K31,IF(ABS(J31-1)&lt;=ABS(13-L31),I31,K31))))</f>
        <v>1</v>
      </c>
      <c r="Y31" s="1" t="n">
        <f aca="false">IF(AND(P31="",R31=""),IF(U31&lt;&gt;"",U31,""),IF(AND(P31&lt;&gt;"",R31=""),P31,IF(AND(P31="",R31&lt;&gt;""),R31,IF(ABS(Q31-1)&lt;=ABS(13-S31),P31,R31))))</f>
        <v>0</v>
      </c>
      <c r="Z31" s="1" t="str">
        <f aca="false">IF(OR(X31="",Y31=""),"",IF(B31="ADD",IF(AND(Y31=0,X31=1),"TRUE","FALSE"),IF(B31="REMOVE",IF(AND(Y31=1,X31=0),"TRUE","FALSE"),IF(B31="NONCI",IF(AND(Y31=0,X31=0),"TRUE","FALSE"),""))))</f>
        <v>TRUE</v>
      </c>
    </row>
    <row r="32" customFormat="false" ht="15" hidden="false" customHeight="false" outlineLevel="0" collapsed="false">
      <c r="A32" s="1" t="n">
        <v>30</v>
      </c>
      <c r="B32" s="1" t="s">
        <v>28</v>
      </c>
      <c r="C32" s="1" t="s">
        <v>87</v>
      </c>
      <c r="D32" s="1" t="s">
        <v>88</v>
      </c>
      <c r="E32" s="1" t="n">
        <v>2.18533799661021</v>
      </c>
      <c r="F32" s="1" t="n">
        <v>41.3903749358271</v>
      </c>
      <c r="G32" s="1" t="s">
        <v>90</v>
      </c>
      <c r="H32" s="3" t="str">
        <f aca="false">HYPERLINK("https://www.google.com/maps/@?api=1&amp;map_action=pano&amp;viewpoint=41.3903749358271,2.18533799661021","Open GSV")</f>
        <v>Open GSV</v>
      </c>
      <c r="I32" s="7" t="n">
        <v>1</v>
      </c>
      <c r="J32" s="7" t="n">
        <v>7</v>
      </c>
      <c r="K32" s="7" t="n">
        <v>1</v>
      </c>
      <c r="L32" s="7" t="n">
        <v>3</v>
      </c>
      <c r="M32" s="7"/>
      <c r="N32" s="7"/>
      <c r="O32" s="7"/>
      <c r="P32" s="7" t="n">
        <v>0</v>
      </c>
      <c r="Q32" s="7" t="n">
        <v>4</v>
      </c>
      <c r="R32" s="7" t="n">
        <v>0</v>
      </c>
      <c r="S32" s="7" t="n">
        <v>8</v>
      </c>
      <c r="T32" s="7"/>
      <c r="U32" s="7"/>
      <c r="V32" s="7"/>
      <c r="W32" s="8" t="s">
        <v>83</v>
      </c>
      <c r="X32" s="1" t="n">
        <f aca="false">IF(AND(I32="",K32=""),IF(N32&lt;&gt;"",N32,""),IF(AND(I32&lt;&gt;"",K32=""),I32,IF(AND(I32="",K32&lt;&gt;""),K32,IF(ABS(J32-1)&lt;=ABS(13-L32),I32,K32))))</f>
        <v>1</v>
      </c>
      <c r="Y32" s="1" t="n">
        <f aca="false">IF(AND(P32="",R32=""),IF(U32&lt;&gt;"",U32,""),IF(AND(P32&lt;&gt;"",R32=""),P32,IF(AND(P32="",R32&lt;&gt;""),R32,IF(ABS(Q32-1)&lt;=ABS(13-S32),P32,R32))))</f>
        <v>0</v>
      </c>
      <c r="Z32" s="1" t="str">
        <f aca="false">IF(OR(X32="",Y32=""),"",IF(B32="ADD",IF(AND(Y32=0,X32=1),"TRUE","FALSE"),IF(B32="REMOVE",IF(AND(Y32=1,X32=0),"TRUE","FALSE"),IF(B32="NONCI",IF(AND(Y32=0,X32=0),"TRUE","FALSE"),""))))</f>
        <v>TRUE</v>
      </c>
    </row>
    <row r="33" customFormat="false" ht="15" hidden="false" customHeight="false" outlineLevel="0" collapsed="false">
      <c r="A33" s="1" t="n">
        <v>31</v>
      </c>
      <c r="B33" s="1" t="s">
        <v>28</v>
      </c>
      <c r="C33" s="1" t="s">
        <v>91</v>
      </c>
      <c r="D33" s="1" t="s">
        <v>88</v>
      </c>
      <c r="E33" s="1" t="n">
        <v>2.15897555292766</v>
      </c>
      <c r="F33" s="1" t="n">
        <v>41.3826431790481</v>
      </c>
      <c r="G33" s="1" t="s">
        <v>92</v>
      </c>
      <c r="H33" s="3" t="str">
        <f aca="false">HYPERLINK("https://www.google.com/maps/@?api=1&amp;map_action=pano&amp;viewpoint=41.3826431790481,2.15897555292766","Open GSV")</f>
        <v>Open GSV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8" t="s">
        <v>53</v>
      </c>
      <c r="X33" s="1" t="str">
        <f aca="false">IF(AND(I33="",K33=""),IF(N33&lt;&gt;"",N33,""),IF(AND(I33&lt;&gt;"",K33=""),I33,IF(AND(I33="",K33&lt;&gt;""),K33,IF(ABS(J33-1)&lt;=ABS(13-L33),I33,K33))))</f>
        <v/>
      </c>
      <c r="Y33" s="1" t="str">
        <f aca="false">IF(AND(P33="",R33=""),IF(U33&lt;&gt;"",U33,""),IF(AND(P33&lt;&gt;"",R33=""),P33,IF(AND(P33="",R33&lt;&gt;""),R33,IF(ABS(Q33-1)&lt;=ABS(13-S33),P33,R33))))</f>
        <v/>
      </c>
      <c r="Z33" s="1" t="str">
        <f aca="false">IF(OR(X33="",Y33=""),"",IF(B33="ADD",IF(AND(Y33=0,X33=1),"TRUE","FALSE"),IF(B33="REMOVE",IF(AND(Y33=1,X33=0),"TRUE","FALSE"),IF(B33="NONCI",IF(AND(Y33=0,X33=0),"TRUE","FALSE"),""))))</f>
        <v/>
      </c>
    </row>
    <row r="34" customFormat="false" ht="15" hidden="false" customHeight="false" outlineLevel="0" collapsed="false">
      <c r="A34" s="1" t="n">
        <v>32</v>
      </c>
      <c r="B34" s="1" t="s">
        <v>28</v>
      </c>
      <c r="C34" s="1" t="s">
        <v>93</v>
      </c>
      <c r="D34" s="1" t="s">
        <v>88</v>
      </c>
      <c r="E34" s="1" t="n">
        <v>2.15370501205099</v>
      </c>
      <c r="F34" s="1" t="n">
        <v>41.3981184632183</v>
      </c>
      <c r="G34" s="1" t="s">
        <v>94</v>
      </c>
      <c r="H34" s="3" t="str">
        <f aca="false">HYPERLINK("https://www.google.com/maps/@?api=1&amp;map_action=pano&amp;viewpoint=41.3981184632183,2.15370501205099","Open GSV")</f>
        <v>Open GSV</v>
      </c>
      <c r="I34" s="7" t="n">
        <v>1</v>
      </c>
      <c r="J34" s="7" t="n">
        <v>8</v>
      </c>
      <c r="K34" s="7" t="n">
        <v>1</v>
      </c>
      <c r="L34" s="7" t="n">
        <v>3</v>
      </c>
      <c r="M34" s="7"/>
      <c r="N34" s="7"/>
      <c r="O34" s="7"/>
      <c r="P34" s="7" t="n">
        <v>0</v>
      </c>
      <c r="Q34" s="7" t="n">
        <v>6</v>
      </c>
      <c r="R34" s="7" t="n">
        <v>0</v>
      </c>
      <c r="S34" s="7" t="n">
        <v>4</v>
      </c>
      <c r="T34" s="7"/>
      <c r="U34" s="7"/>
      <c r="V34" s="7"/>
      <c r="W34" s="7"/>
      <c r="X34" s="1" t="n">
        <f aca="false">IF(AND(I34="",K34=""),IF(N34&lt;&gt;"",N34,""),IF(AND(I34&lt;&gt;"",K34=""),I34,IF(AND(I34="",K34&lt;&gt;""),K34,IF(ABS(J34-1)&lt;=ABS(13-L34),I34,K34))))</f>
        <v>1</v>
      </c>
      <c r="Y34" s="1" t="n">
        <f aca="false">IF(AND(P34="",R34=""),IF(U34&lt;&gt;"",U34,""),IF(AND(P34&lt;&gt;"",R34=""),P34,IF(AND(P34="",R34&lt;&gt;""),R34,IF(ABS(Q34-1)&lt;=ABS(13-S34),P34,R34))))</f>
        <v>0</v>
      </c>
      <c r="Z34" s="1" t="str">
        <f aca="false">IF(OR(X34="",Y34=""),"",IF(B34="ADD",IF(AND(Y34=0,X34=1),"TRUE","FALSE"),IF(B34="REMOVE",IF(AND(Y34=1,X34=0),"TRUE","FALSE"),IF(B34="NONCI",IF(AND(Y34=0,X34=0),"TRUE","FALSE"),""))))</f>
        <v>TRUE</v>
      </c>
    </row>
    <row r="35" customFormat="false" ht="15" hidden="false" customHeight="false" outlineLevel="0" collapsed="false">
      <c r="A35" s="1" t="n">
        <v>33</v>
      </c>
      <c r="B35" s="1" t="s">
        <v>28</v>
      </c>
      <c r="C35" s="1" t="s">
        <v>93</v>
      </c>
      <c r="D35" s="1" t="s">
        <v>88</v>
      </c>
      <c r="E35" s="1" t="n">
        <v>2.1537501547691</v>
      </c>
      <c r="F35" s="1" t="n">
        <v>41.3981332109611</v>
      </c>
      <c r="G35" s="1" t="s">
        <v>95</v>
      </c>
      <c r="H35" s="3" t="str">
        <f aca="false">HYPERLINK("https://www.google.com/maps/@?api=1&amp;map_action=pano&amp;viewpoint=41.3981332109611,2.1537501547691","Open GSV")</f>
        <v>Open GSV</v>
      </c>
      <c r="I35" s="7" t="n">
        <v>1</v>
      </c>
      <c r="J35" s="7" t="n">
        <v>8</v>
      </c>
      <c r="K35" s="7" t="n">
        <v>1</v>
      </c>
      <c r="L35" s="7" t="n">
        <v>3</v>
      </c>
      <c r="M35" s="7"/>
      <c r="N35" s="7"/>
      <c r="O35" s="7"/>
      <c r="P35" s="7" t="n">
        <v>0</v>
      </c>
      <c r="Q35" s="7" t="n">
        <v>6</v>
      </c>
      <c r="R35" s="7" t="n">
        <v>0</v>
      </c>
      <c r="S35" s="7" t="n">
        <v>4</v>
      </c>
      <c r="T35" s="7"/>
      <c r="U35" s="7"/>
      <c r="V35" s="7"/>
      <c r="W35" s="7"/>
      <c r="X35" s="1" t="n">
        <f aca="false">IF(AND(I35="",K35=""),IF(N35&lt;&gt;"",N35,""),IF(AND(I35&lt;&gt;"",K35=""),I35,IF(AND(I35="",K35&lt;&gt;""),K35,IF(ABS(J35-1)&lt;=ABS(13-L35),I35,K35))))</f>
        <v>1</v>
      </c>
      <c r="Y35" s="1" t="n">
        <f aca="false">IF(AND(P35="",R35=""),IF(U35&lt;&gt;"",U35,""),IF(AND(P35&lt;&gt;"",R35=""),P35,IF(AND(P35="",R35&lt;&gt;""),R35,IF(ABS(Q35-1)&lt;=ABS(13-S35),P35,R35))))</f>
        <v>0</v>
      </c>
      <c r="Z35" s="1" t="str">
        <f aca="false">IF(OR(X35="",Y35=""),"",IF(B35="ADD",IF(AND(Y35=0,X35=1),"TRUE","FALSE"),IF(B35="REMOVE",IF(AND(Y35=1,X35=0),"TRUE","FALSE"),IF(B35="NONCI",IF(AND(Y35=0,X35=0),"TRUE","FALSE"),""))))</f>
        <v>TRUE</v>
      </c>
    </row>
    <row r="36" customFormat="false" ht="15" hidden="false" customHeight="false" outlineLevel="0" collapsed="false">
      <c r="A36" s="1" t="n">
        <v>34</v>
      </c>
      <c r="B36" s="1" t="s">
        <v>28</v>
      </c>
      <c r="C36" s="1" t="s">
        <v>96</v>
      </c>
      <c r="D36" s="1" t="s">
        <v>97</v>
      </c>
      <c r="E36" s="1" t="n">
        <v>2.1240095291374</v>
      </c>
      <c r="F36" s="1" t="n">
        <v>41.3756644128399</v>
      </c>
      <c r="G36" s="1" t="s">
        <v>98</v>
      </c>
      <c r="H36" s="3" t="str">
        <f aca="false">HYPERLINK("https://www.google.com/maps/@?api=1&amp;map_action=pano&amp;viewpoint=41.3756644128399,2.1240095291374","Open GSV")</f>
        <v>Open GSV</v>
      </c>
      <c r="I36" s="7" t="n">
        <v>1</v>
      </c>
      <c r="J36" s="7" t="n">
        <v>8</v>
      </c>
      <c r="K36" s="7" t="n">
        <v>1</v>
      </c>
      <c r="L36" s="7" t="n">
        <v>10</v>
      </c>
      <c r="M36" s="7"/>
      <c r="N36" s="7"/>
      <c r="O36" s="7"/>
      <c r="P36" s="7" t="n">
        <v>0</v>
      </c>
      <c r="Q36" s="7" t="n">
        <v>6</v>
      </c>
      <c r="R36" s="7" t="n">
        <v>0</v>
      </c>
      <c r="S36" s="7" t="n">
        <v>3</v>
      </c>
      <c r="T36" s="7"/>
      <c r="U36" s="7"/>
      <c r="V36" s="7"/>
      <c r="W36" s="7"/>
      <c r="X36" s="1" t="n">
        <f aca="false">IF(AND(I36="",K36=""),IF(N36&lt;&gt;"",N36,""),IF(AND(I36&lt;&gt;"",K36=""),I36,IF(AND(I36="",K36&lt;&gt;""),K36,IF(ABS(J36-1)&lt;=ABS(13-L36),I36,K36))))</f>
        <v>1</v>
      </c>
      <c r="Y36" s="1" t="n">
        <f aca="false">IF(AND(P36="",R36=""),IF(U36&lt;&gt;"",U36,""),IF(AND(P36&lt;&gt;"",R36=""),P36,IF(AND(P36="",R36&lt;&gt;""),R36,IF(ABS(Q36-1)&lt;=ABS(13-S36),P36,R36))))</f>
        <v>0</v>
      </c>
      <c r="Z36" s="1" t="str">
        <f aca="false">IF(OR(X36="",Y36=""),"",IF(B36="ADD",IF(AND(Y36=0,X36=1),"TRUE","FALSE"),IF(B36="REMOVE",IF(AND(Y36=1,X36=0),"TRUE","FALSE"),IF(B36="NONCI",IF(AND(Y36=0,X36=0),"TRUE","FALSE"),""))))</f>
        <v>TRUE</v>
      </c>
    </row>
    <row r="37" customFormat="false" ht="15" hidden="false" customHeight="false" outlineLevel="0" collapsed="false">
      <c r="A37" s="1" t="n">
        <v>35</v>
      </c>
      <c r="B37" s="1" t="s">
        <v>28</v>
      </c>
      <c r="C37" s="1" t="s">
        <v>99</v>
      </c>
      <c r="D37" s="1" t="s">
        <v>100</v>
      </c>
      <c r="E37" s="1" t="n">
        <v>2.13075902951078</v>
      </c>
      <c r="F37" s="1" t="n">
        <v>41.3750869481267</v>
      </c>
      <c r="G37" s="1" t="s">
        <v>101</v>
      </c>
      <c r="H37" s="3" t="str">
        <f aca="false">HYPERLINK("https://www.google.com/maps/@?api=1&amp;map_action=pano&amp;viewpoint=41.3750869481267,2.13075902951078","Open GSV")</f>
        <v>Open GSV</v>
      </c>
      <c r="I37" s="7"/>
      <c r="J37" s="7"/>
      <c r="K37" s="7"/>
      <c r="L37" s="7"/>
      <c r="M37" s="7" t="n">
        <v>2022</v>
      </c>
      <c r="N37" s="7" t="n">
        <v>0</v>
      </c>
      <c r="O37" s="7" t="n">
        <v>1</v>
      </c>
      <c r="P37" s="7" t="n">
        <v>0</v>
      </c>
      <c r="Q37" s="7" t="n">
        <v>6</v>
      </c>
      <c r="R37" s="7"/>
      <c r="S37" s="7"/>
      <c r="T37" s="7"/>
      <c r="U37" s="7"/>
      <c r="V37" s="7"/>
      <c r="W37" s="7"/>
      <c r="X37" s="1" t="n">
        <f aca="false">IF(AND(I37="",K37=""),IF(N37&lt;&gt;"",N37,""),IF(AND(I37&lt;&gt;"",K37=""),I37,IF(AND(I37="",K37&lt;&gt;""),K37,IF(ABS(J37-1)&lt;=ABS(13-L37),I37,K37))))</f>
        <v>0</v>
      </c>
      <c r="Y37" s="1" t="n">
        <f aca="false">IF(AND(P37="",R37=""),IF(U37&lt;&gt;"",U37,""),IF(AND(P37&lt;&gt;"",R37=""),P37,IF(AND(P37="",R37&lt;&gt;""),R37,IF(ABS(Q37-1)&lt;=ABS(13-S37),P37,R37))))</f>
        <v>0</v>
      </c>
      <c r="Z37" s="1" t="str">
        <f aca="false">IF(OR(X37="",Y37=""),"",IF(B37="ADD",IF(AND(Y37=0,X37=1),"TRUE","FALSE"),IF(B37="REMOVE",IF(AND(Y37=1,X37=0),"TRUE","FALSE"),IF(B37="NONCI",IF(AND(Y37=0,X37=0),"TRUE","FALSE"),""))))</f>
        <v>FALSE</v>
      </c>
    </row>
    <row r="38" customFormat="false" ht="15" hidden="false" customHeight="false" outlineLevel="0" collapsed="false">
      <c r="A38" s="1" t="n">
        <v>36</v>
      </c>
      <c r="B38" s="1" t="s">
        <v>28</v>
      </c>
      <c r="C38" s="1" t="s">
        <v>99</v>
      </c>
      <c r="D38" s="1" t="s">
        <v>100</v>
      </c>
      <c r="E38" s="1" t="n">
        <v>2.13118777902404</v>
      </c>
      <c r="F38" s="1" t="n">
        <v>41.3738399462803</v>
      </c>
      <c r="G38" s="1" t="s">
        <v>102</v>
      </c>
      <c r="H38" s="3" t="str">
        <f aca="false">HYPERLINK("https://www.google.com/maps/@?api=1&amp;map_action=pano&amp;viewpoint=41.3738399462803,2.13118777902404","Open GSV")</f>
        <v>Open GSV</v>
      </c>
      <c r="I38" s="7"/>
      <c r="J38" s="7"/>
      <c r="K38" s="7"/>
      <c r="L38" s="7"/>
      <c r="M38" s="7" t="n">
        <v>2022</v>
      </c>
      <c r="N38" s="7" t="n">
        <v>0</v>
      </c>
      <c r="O38" s="7" t="n">
        <v>1</v>
      </c>
      <c r="P38" s="7" t="n">
        <v>0</v>
      </c>
      <c r="Q38" s="7" t="n">
        <v>6</v>
      </c>
      <c r="R38" s="7" t="n">
        <v>0</v>
      </c>
      <c r="S38" s="7" t="n">
        <v>4</v>
      </c>
      <c r="T38" s="7"/>
      <c r="U38" s="7"/>
      <c r="V38" s="7"/>
      <c r="W38" s="7"/>
      <c r="X38" s="1" t="n">
        <f aca="false">IF(AND(I38="",K38=""),IF(N38&lt;&gt;"",N38,""),IF(AND(I38&lt;&gt;"",K38=""),I38,IF(AND(I38="",K38&lt;&gt;""),K38,IF(ABS(J38-1)&lt;=ABS(13-L38),I38,K38))))</f>
        <v>0</v>
      </c>
      <c r="Y38" s="1" t="n">
        <f aca="false">IF(AND(P38="",R38=""),IF(U38&lt;&gt;"",U38,""),IF(AND(P38&lt;&gt;"",R38=""),P38,IF(AND(P38="",R38&lt;&gt;""),R38,IF(ABS(Q38-1)&lt;=ABS(13-S38),P38,R38))))</f>
        <v>0</v>
      </c>
      <c r="Z38" s="1" t="str">
        <f aca="false">IF(OR(X38="",Y38=""),"",IF(B38="ADD",IF(AND(Y38=0,X38=1),"TRUE","FALSE"),IF(B38="REMOVE",IF(AND(Y38=1,X38=0),"TRUE","FALSE"),IF(B38="NONCI",IF(AND(Y38=0,X38=0),"TRUE","FALSE"),""))))</f>
        <v>FALSE</v>
      </c>
    </row>
    <row r="39" customFormat="false" ht="15" hidden="false" customHeight="false" outlineLevel="0" collapsed="false">
      <c r="A39" s="1" t="n">
        <v>37</v>
      </c>
      <c r="B39" s="1" t="s">
        <v>28</v>
      </c>
      <c r="C39" s="1" t="s">
        <v>103</v>
      </c>
      <c r="D39" s="1" t="s">
        <v>100</v>
      </c>
      <c r="E39" s="1" t="n">
        <v>2.17976081270431</v>
      </c>
      <c r="F39" s="1" t="n">
        <v>41.4118804921771</v>
      </c>
      <c r="G39" s="1" t="s">
        <v>104</v>
      </c>
      <c r="H39" s="3" t="str">
        <f aca="false">HYPERLINK("https://www.google.com/maps/@?api=1&amp;map_action=pano&amp;viewpoint=41.4118804921771,2.17976081270431","Open GSV")</f>
        <v>Open GSV</v>
      </c>
      <c r="I39" s="7" t="n">
        <v>1</v>
      </c>
      <c r="J39" s="7" t="n">
        <v>7</v>
      </c>
      <c r="K39" s="7" t="n">
        <v>1</v>
      </c>
      <c r="L39" s="7" t="n">
        <v>10</v>
      </c>
      <c r="M39" s="7"/>
      <c r="N39" s="7"/>
      <c r="O39" s="7"/>
      <c r="P39" s="7" t="n">
        <v>0</v>
      </c>
      <c r="Q39" s="7" t="n">
        <v>4</v>
      </c>
      <c r="R39" s="7" t="n">
        <v>0</v>
      </c>
      <c r="S39" s="7" t="n">
        <v>6</v>
      </c>
      <c r="T39" s="7"/>
      <c r="U39" s="7"/>
      <c r="V39" s="7"/>
      <c r="W39" s="8" t="s">
        <v>105</v>
      </c>
      <c r="X39" s="1" t="n">
        <f aca="false">IF(AND(I39="",K39=""),IF(N39&lt;&gt;"",N39,""),IF(AND(I39&lt;&gt;"",K39=""),I39,IF(AND(I39="",K39&lt;&gt;""),K39,IF(ABS(J39-1)&lt;=ABS(13-L39),I39,K39))))</f>
        <v>1</v>
      </c>
      <c r="Y39" s="1" t="n">
        <f aca="false">IF(AND(P39="",R39=""),IF(U39&lt;&gt;"",U39,""),IF(AND(P39&lt;&gt;"",R39=""),P39,IF(AND(P39="",R39&lt;&gt;""),R39,IF(ABS(Q39-1)&lt;=ABS(13-S39),P39,R39))))</f>
        <v>0</v>
      </c>
      <c r="Z39" s="1" t="str">
        <f aca="false">IF(OR(X39="",Y39=""),"",IF(B39="ADD",IF(AND(Y39=0,X39=1),"TRUE","FALSE"),IF(B39="REMOVE",IF(AND(Y39=1,X39=0),"TRUE","FALSE"),IF(B39="NONCI",IF(AND(Y39=0,X39=0),"TRUE","FALSE"),""))))</f>
        <v>TRUE</v>
      </c>
    </row>
    <row r="40" customFormat="false" ht="15" hidden="false" customHeight="false" outlineLevel="0" collapsed="false">
      <c r="A40" s="1" t="n">
        <v>38</v>
      </c>
      <c r="B40" s="1" t="s">
        <v>28</v>
      </c>
      <c r="C40" s="1" t="s">
        <v>103</v>
      </c>
      <c r="D40" s="1" t="s">
        <v>100</v>
      </c>
      <c r="E40" s="1" t="n">
        <v>2.180890772398</v>
      </c>
      <c r="F40" s="1" t="n">
        <v>41.4127447371871</v>
      </c>
      <c r="G40" s="1" t="s">
        <v>106</v>
      </c>
      <c r="H40" s="3" t="str">
        <f aca="false">HYPERLINK("https://www.google.com/maps/@?api=1&amp;map_action=pano&amp;viewpoint=41.4127447371871,2.180890772398","Open GSV")</f>
        <v>Open GSV</v>
      </c>
      <c r="I40" s="7"/>
      <c r="J40" s="7"/>
      <c r="K40" s="7" t="n">
        <v>0</v>
      </c>
      <c r="L40" s="7" t="n">
        <v>3</v>
      </c>
      <c r="M40" s="7"/>
      <c r="N40" s="7"/>
      <c r="O40" s="7"/>
      <c r="P40" s="7" t="n">
        <v>0</v>
      </c>
      <c r="Q40" s="7" t="n">
        <v>4</v>
      </c>
      <c r="R40" s="7" t="n">
        <v>0</v>
      </c>
      <c r="S40" s="7" t="n">
        <v>4</v>
      </c>
      <c r="T40" s="7"/>
      <c r="U40" s="7"/>
      <c r="V40" s="7"/>
      <c r="W40" s="8" t="s">
        <v>107</v>
      </c>
      <c r="Z40" s="1" t="str">
        <f aca="false">IF(OR(X40="",Y40=""),"",IF(B40="ADD",IF(AND(Y40=0,X40=1),"TRUE","FALSE"),IF(B40="REMOVE",IF(AND(Y40=1,X40=0),"TRUE","FALSE"),IF(B40="NONCI",IF(AND(Y40=0,X40=0),"TRUE","FALSE"),""))))</f>
        <v/>
      </c>
    </row>
    <row r="41" customFormat="false" ht="15" hidden="false" customHeight="false" outlineLevel="0" collapsed="false">
      <c r="A41" s="1" t="n">
        <v>39</v>
      </c>
      <c r="B41" s="1" t="s">
        <v>28</v>
      </c>
      <c r="C41" s="1" t="s">
        <v>108</v>
      </c>
      <c r="D41" s="1" t="s">
        <v>100</v>
      </c>
      <c r="E41" s="1" t="n">
        <v>2.13736483373658</v>
      </c>
      <c r="F41" s="1" t="n">
        <v>41.3848229909854</v>
      </c>
      <c r="G41" s="1" t="s">
        <v>109</v>
      </c>
      <c r="H41" s="3" t="str">
        <f aca="false">HYPERLINK("https://www.google.com/maps/@?api=1&amp;map_action=pano&amp;viewpoint=41.3848229909854,2.13736483373658","Open GSV")</f>
        <v>Open GSV</v>
      </c>
      <c r="I41" s="7"/>
      <c r="J41" s="7"/>
      <c r="K41" s="7"/>
      <c r="L41" s="7"/>
      <c r="M41" s="7" t="n">
        <v>2022</v>
      </c>
      <c r="N41" s="7" t="n">
        <v>1</v>
      </c>
      <c r="O41" s="7" t="n">
        <v>1</v>
      </c>
      <c r="P41" s="7" t="n">
        <v>0</v>
      </c>
      <c r="Q41" s="7" t="n">
        <v>6</v>
      </c>
      <c r="R41" s="7" t="n">
        <v>0</v>
      </c>
      <c r="S41" s="7" t="n">
        <v>5</v>
      </c>
      <c r="T41" s="7"/>
      <c r="U41" s="7"/>
      <c r="V41" s="7"/>
      <c r="W41" s="7"/>
      <c r="X41" s="1" t="n">
        <f aca="false">IF(AND(I41="",K41=""),IF(N41&lt;&gt;"",N41,""),IF(AND(I41&lt;&gt;"",K41=""),I41,IF(AND(I41="",K41&lt;&gt;""),K41,IF(ABS(J41-1)&lt;=ABS(13-L41),I41,K41))))</f>
        <v>1</v>
      </c>
      <c r="Y41" s="1" t="n">
        <f aca="false">IF(AND(P41="",R41=""),IF(U41&lt;&gt;"",U41,""),IF(AND(P41&lt;&gt;"",R41=""),P41,IF(AND(P41="",R41&lt;&gt;""),R41,IF(ABS(Q41-1)&lt;=ABS(13-S41),P41,R41))))</f>
        <v>0</v>
      </c>
      <c r="Z41" s="1" t="str">
        <f aca="false">IF(OR(X41="",Y41=""),"",IF(B41="ADD",IF(AND(Y41=0,X41=1),"TRUE","FALSE"),IF(B41="REMOVE",IF(AND(Y41=1,X41=0),"TRUE","FALSE"),IF(B41="NONCI",IF(AND(Y41=0,X41=0),"TRUE","FALSE"),""))))</f>
        <v>TRUE</v>
      </c>
    </row>
    <row r="42" customFormat="false" ht="15" hidden="false" customHeight="false" outlineLevel="0" collapsed="false">
      <c r="A42" s="1" t="n">
        <v>40</v>
      </c>
      <c r="B42" s="1" t="s">
        <v>28</v>
      </c>
      <c r="C42" s="1" t="s">
        <v>108</v>
      </c>
      <c r="D42" s="1" t="s">
        <v>100</v>
      </c>
      <c r="E42" s="1" t="n">
        <v>2.13784099621788</v>
      </c>
      <c r="F42" s="1" t="n">
        <v>41.3851659046238</v>
      </c>
      <c r="G42" s="1" t="s">
        <v>110</v>
      </c>
      <c r="H42" s="3" t="str">
        <f aca="false">HYPERLINK("https://www.google.com/maps/@?api=1&amp;map_action=pano&amp;viewpoint=41.3851659046238,2.13784099621788","Open GSV")</f>
        <v>Open GSV</v>
      </c>
      <c r="I42" s="8"/>
      <c r="J42" s="8"/>
      <c r="K42" s="8"/>
      <c r="L42" s="8"/>
      <c r="M42" s="8" t="n">
        <v>2022</v>
      </c>
      <c r="N42" s="8" t="n">
        <v>1</v>
      </c>
      <c r="O42" s="8" t="n">
        <v>1</v>
      </c>
      <c r="P42" s="8" t="n">
        <v>1</v>
      </c>
      <c r="Q42" s="8" t="n">
        <v>7</v>
      </c>
      <c r="R42" s="8" t="n">
        <v>0</v>
      </c>
      <c r="S42" s="8" t="n">
        <v>4</v>
      </c>
      <c r="T42" s="8"/>
      <c r="U42" s="8"/>
      <c r="V42" s="8"/>
      <c r="W42" s="8"/>
      <c r="X42" s="1" t="n">
        <f aca="false">IF(AND(I42="",K42=""),IF(N42&lt;&gt;"",N42,""),IF(AND(I42&lt;&gt;"",K42=""),I42,IF(AND(I42="",K42&lt;&gt;""),K42,IF(ABS(J42-1)&lt;=ABS(13-L42),I42,K42))))</f>
        <v>1</v>
      </c>
      <c r="Y42" s="1" t="n">
        <f aca="false">IF(AND(P42="",R42=""),IF(U42&lt;&gt;"",U42,""),IF(AND(P42&lt;&gt;"",R42=""),P42,IF(AND(P42="",R42&lt;&gt;""),R42,IF(ABS(Q42-1)&lt;=ABS(13-S42),P42,R42))))</f>
        <v>1</v>
      </c>
      <c r="Z42" s="1" t="str">
        <f aca="false">IF(OR(X42="",Y42=""),"",IF(B42="ADD",IF(AND(Y42=0,X42=1),"TRUE","FALSE"),IF(B42="REMOVE",IF(AND(Y42=1,X42=0),"TRUE","FALSE"),IF(B42="NONCI",IF(AND(Y42=0,X42=0),"TRUE","FALSE"),""))))</f>
        <v>FALSE</v>
      </c>
    </row>
    <row r="43" customFormat="false" ht="15" hidden="false" customHeight="false" outlineLevel="0" collapsed="false">
      <c r="A43" s="1" t="n">
        <v>41</v>
      </c>
      <c r="B43" s="1" t="s">
        <v>28</v>
      </c>
      <c r="C43" s="1" t="s">
        <v>111</v>
      </c>
      <c r="D43" s="1" t="s">
        <v>100</v>
      </c>
      <c r="E43" s="1" t="n">
        <v>2.1905776282886</v>
      </c>
      <c r="F43" s="1" t="n">
        <v>41.4166187121365</v>
      </c>
      <c r="G43" s="1" t="s">
        <v>112</v>
      </c>
      <c r="H43" s="3" t="str">
        <f aca="false">HYPERLINK("https://www.google.com/maps/@?api=1&amp;map_action=pano&amp;viewpoint=41.4166187121365,2.1905776282886","Open GSV")</f>
        <v>Open GSV</v>
      </c>
      <c r="I43" s="8" t="n">
        <v>1</v>
      </c>
      <c r="J43" s="8" t="n">
        <v>7</v>
      </c>
      <c r="K43" s="8" t="n">
        <v>1</v>
      </c>
      <c r="L43" s="8" t="n">
        <v>3</v>
      </c>
      <c r="M43" s="8"/>
      <c r="N43" s="8"/>
      <c r="O43" s="8"/>
      <c r="P43" s="8" t="n">
        <v>1</v>
      </c>
      <c r="Q43" s="8" t="n">
        <v>4</v>
      </c>
      <c r="R43" s="8" t="n">
        <v>0</v>
      </c>
      <c r="S43" s="8" t="n">
        <v>4</v>
      </c>
      <c r="T43" s="8"/>
      <c r="U43" s="8"/>
      <c r="V43" s="8"/>
      <c r="W43" s="8"/>
      <c r="X43" s="1" t="n">
        <f aca="false">IF(AND(I43="",K43=""),IF(N43&lt;&gt;"",N43,""),IF(AND(I43&lt;&gt;"",K43=""),I43,IF(AND(I43="",K43&lt;&gt;""),K43,IF(ABS(J43-1)&lt;=ABS(13-L43),I43,K43))))</f>
        <v>1</v>
      </c>
      <c r="Y43" s="1" t="n">
        <f aca="false">IF(AND(P43="",R43=""),IF(U43&lt;&gt;"",U43,""),IF(AND(P43&lt;&gt;"",R43=""),P43,IF(AND(P43="",R43&lt;&gt;""),R43,IF(ABS(Q43-1)&lt;=ABS(13-S43),P43,R43))))</f>
        <v>1</v>
      </c>
      <c r="Z43" s="1" t="str">
        <f aca="false">IF(OR(X43="",Y43=""),"",IF(B43="ADD",IF(AND(Y43=0,X43=1),"TRUE","FALSE"),IF(B43="REMOVE",IF(AND(Y43=1,X43=0),"TRUE","FALSE"),IF(B43="NONCI",IF(AND(Y43=0,X43=0),"TRUE","FALSE"),""))))</f>
        <v>FALSE</v>
      </c>
    </row>
    <row r="44" customFormat="false" ht="15" hidden="false" customHeight="false" outlineLevel="0" collapsed="false">
      <c r="A44" s="1" t="n">
        <v>42</v>
      </c>
      <c r="B44" s="1" t="s">
        <v>28</v>
      </c>
      <c r="C44" s="1" t="s">
        <v>113</v>
      </c>
      <c r="D44" s="1" t="s">
        <v>100</v>
      </c>
      <c r="E44" s="1" t="n">
        <v>2.1392576352892</v>
      </c>
      <c r="F44" s="1" t="n">
        <v>41.3600114226599</v>
      </c>
      <c r="G44" s="1" t="s">
        <v>114</v>
      </c>
      <c r="H44" s="3" t="str">
        <f aca="false">HYPERLINK("https://www.google.com/maps/@?api=1&amp;map_action=pano&amp;viewpoint=41.3600114226599,2.1392576352892","Open GSV")</f>
        <v>Open GSV</v>
      </c>
      <c r="I44" s="7" t="n">
        <v>1</v>
      </c>
      <c r="J44" s="7" t="n">
        <v>7</v>
      </c>
      <c r="K44" s="7"/>
      <c r="L44" s="7"/>
      <c r="M44" s="7"/>
      <c r="N44" s="7"/>
      <c r="O44" s="7"/>
      <c r="P44" s="7" t="n">
        <v>0</v>
      </c>
      <c r="Q44" s="7" t="n">
        <v>6</v>
      </c>
      <c r="R44" s="7" t="n">
        <v>0</v>
      </c>
      <c r="S44" s="7" t="n">
        <v>3</v>
      </c>
      <c r="T44" s="7"/>
      <c r="U44" s="7"/>
      <c r="V44" s="7"/>
      <c r="W44" s="7"/>
      <c r="X44" s="1" t="n">
        <f aca="false">IF(AND(I44="",K44=""),IF(N44&lt;&gt;"",N44,""),IF(AND(I44&lt;&gt;"",K44=""),I44,IF(AND(I44="",K44&lt;&gt;""),K44,IF(ABS(J44-1)&lt;=ABS(13-L44),I44,K44))))</f>
        <v>1</v>
      </c>
      <c r="Y44" s="1" t="n">
        <f aca="false">IF(AND(P44="",R44=""),IF(U44&lt;&gt;"",U44,""),IF(AND(P44&lt;&gt;"",R44=""),P44,IF(AND(P44="",R44&lt;&gt;""),R44,IF(ABS(Q44-1)&lt;=ABS(13-S44),P44,R44))))</f>
        <v>0</v>
      </c>
      <c r="Z44" s="1" t="str">
        <f aca="false">IF(OR(X44="",Y44=""),"",IF(B44="ADD",IF(AND(Y44=0,X44=1),"TRUE","FALSE"),IF(B44="REMOVE",IF(AND(Y44=1,X44=0),"TRUE","FALSE"),IF(B44="NONCI",IF(AND(Y44=0,X44=0),"TRUE","FALSE"),""))))</f>
        <v>TRUE</v>
      </c>
    </row>
    <row r="45" customFormat="false" ht="15" hidden="false" customHeight="false" outlineLevel="0" collapsed="false">
      <c r="A45" s="1" t="n">
        <v>43</v>
      </c>
      <c r="B45" s="1" t="s">
        <v>28</v>
      </c>
      <c r="C45" s="1" t="s">
        <v>115</v>
      </c>
      <c r="D45" s="1" t="s">
        <v>116</v>
      </c>
      <c r="E45" s="1" t="n">
        <v>2.14988483545965</v>
      </c>
      <c r="F45" s="1" t="n">
        <v>41.3826401063928</v>
      </c>
      <c r="G45" s="1" t="s">
        <v>117</v>
      </c>
      <c r="H45" s="3" t="str">
        <f aca="false">HYPERLINK("https://www.google.com/maps/@?api=1&amp;map_action=pano&amp;viewpoint=41.3826401063928,2.14988483545965","Open GSV")</f>
        <v>Open GSV</v>
      </c>
      <c r="I45" s="7"/>
      <c r="J45" s="7"/>
      <c r="K45" s="7" t="n">
        <v>1</v>
      </c>
      <c r="L45" s="7" t="n">
        <v>3</v>
      </c>
      <c r="M45" s="7"/>
      <c r="N45" s="7"/>
      <c r="O45" s="7"/>
      <c r="P45" s="7" t="n">
        <v>0</v>
      </c>
      <c r="Q45" s="7" t="n">
        <v>7</v>
      </c>
      <c r="R45" s="7" t="n">
        <v>0</v>
      </c>
      <c r="S45" s="7" t="n">
        <v>5</v>
      </c>
      <c r="T45" s="7"/>
      <c r="U45" s="7"/>
      <c r="V45" s="7"/>
      <c r="W45" s="7"/>
      <c r="X45" s="1" t="n">
        <f aca="false">IF(AND(I45="",K45=""),IF(N45&lt;&gt;"",N45,""),IF(AND(I45&lt;&gt;"",K45=""),I45,IF(AND(I45="",K45&lt;&gt;""),K45,IF(ABS(J45-1)&lt;=ABS(13-L45),I45,K45))))</f>
        <v>1</v>
      </c>
      <c r="Y45" s="1" t="n">
        <f aca="false">IF(AND(P45="",R45=""),IF(U45&lt;&gt;"",U45,""),IF(AND(P45&lt;&gt;"",R45=""),P45,IF(AND(P45="",R45&lt;&gt;""),R45,IF(ABS(Q45-1)&lt;=ABS(13-S45),P45,R45))))</f>
        <v>0</v>
      </c>
      <c r="Z45" s="1" t="str">
        <f aca="false">IF(OR(X45="",Y45=""),"",IF(B45="ADD",IF(AND(Y45=0,X45=1),"TRUE","FALSE"),IF(B45="REMOVE",IF(AND(Y45=1,X45=0),"TRUE","FALSE"),IF(B45="NONCI",IF(AND(Y45=0,X45=0),"TRUE","FALSE"),""))))</f>
        <v>TRUE</v>
      </c>
    </row>
    <row r="46" customFormat="false" ht="15" hidden="false" customHeight="false" outlineLevel="0" collapsed="false">
      <c r="A46" s="1" t="n">
        <v>44</v>
      </c>
      <c r="B46" s="1" t="s">
        <v>28</v>
      </c>
      <c r="C46" s="1" t="s">
        <v>118</v>
      </c>
      <c r="D46" s="1" t="s">
        <v>116</v>
      </c>
      <c r="E46" s="1" t="n">
        <v>2.15114251227034</v>
      </c>
      <c r="F46" s="1" t="n">
        <v>41.381818495143</v>
      </c>
      <c r="G46" s="1" t="s">
        <v>119</v>
      </c>
      <c r="H46" s="3" t="str">
        <f aca="false">HYPERLINK("https://www.google.com/maps/@?api=1&amp;map_action=pano&amp;viewpoint=41.381818495143,2.15114251227034","Open GSV")</f>
        <v>Open GSV</v>
      </c>
      <c r="I46" s="7" t="n">
        <v>1</v>
      </c>
      <c r="J46" s="7" t="n">
        <v>5</v>
      </c>
      <c r="K46" s="7" t="n">
        <v>1</v>
      </c>
      <c r="L46" s="7" t="n">
        <v>3</v>
      </c>
      <c r="M46" s="7"/>
      <c r="N46" s="7"/>
      <c r="O46" s="7"/>
      <c r="P46" s="7" t="n">
        <v>0</v>
      </c>
      <c r="Q46" s="7" t="n">
        <v>4</v>
      </c>
      <c r="R46" s="7" t="n">
        <v>0</v>
      </c>
      <c r="S46" s="7" t="n">
        <v>4</v>
      </c>
      <c r="T46" s="7"/>
      <c r="U46" s="7"/>
      <c r="V46" s="7"/>
      <c r="W46" s="8" t="s">
        <v>120</v>
      </c>
      <c r="X46" s="1" t="n">
        <f aca="false">IF(AND(I46="",K46=""),IF(N46&lt;&gt;"",N46,""),IF(AND(I46&lt;&gt;"",K46=""),I46,IF(AND(I46="",K46&lt;&gt;""),K46,IF(ABS(J46-1)&lt;=ABS(13-L46),I46,K46))))</f>
        <v>1</v>
      </c>
      <c r="Y46" s="1" t="n">
        <f aca="false">IF(AND(P46="",R46=""),IF(U46&lt;&gt;"",U46,""),IF(AND(P46&lt;&gt;"",R46=""),P46,IF(AND(P46="",R46&lt;&gt;""),R46,IF(ABS(Q46-1)&lt;=ABS(13-S46),P46,R46))))</f>
        <v>0</v>
      </c>
      <c r="Z46" s="1" t="str">
        <f aca="false">IF(OR(X46="",Y46=""),"",IF(B46="ADD",IF(AND(Y46=0,X46=1),"TRUE","FALSE"),IF(B46="REMOVE",IF(AND(Y46=1,X46=0),"TRUE","FALSE"),IF(B46="NONCI",IF(AND(Y46=0,X46=0),"TRUE","FALSE"),""))))</f>
        <v>TRUE</v>
      </c>
    </row>
    <row r="47" customFormat="false" ht="15" hidden="false" customHeight="false" outlineLevel="0" collapsed="false">
      <c r="A47" s="1" t="n">
        <v>45</v>
      </c>
      <c r="B47" s="1" t="s">
        <v>28</v>
      </c>
      <c r="C47" s="1" t="s">
        <v>118</v>
      </c>
      <c r="D47" s="1" t="s">
        <v>116</v>
      </c>
      <c r="E47" s="1" t="n">
        <v>2.15108663385945</v>
      </c>
      <c r="F47" s="1" t="n">
        <v>41.3817275823742</v>
      </c>
      <c r="G47" s="1" t="s">
        <v>121</v>
      </c>
      <c r="H47" s="3" t="str">
        <f aca="false">HYPERLINK("https://www.google.com/maps/@?api=1&amp;map_action=pano&amp;viewpoint=41.3817275823742,2.15108663385945","Open GSV")</f>
        <v>Open GSV</v>
      </c>
      <c r="I47" s="7" t="n">
        <v>1</v>
      </c>
      <c r="J47" s="7" t="n">
        <v>5</v>
      </c>
      <c r="K47" s="7" t="n">
        <v>1</v>
      </c>
      <c r="L47" s="7" t="n">
        <v>3</v>
      </c>
      <c r="M47" s="7"/>
      <c r="N47" s="7"/>
      <c r="O47" s="7"/>
      <c r="P47" s="7" t="n">
        <v>0</v>
      </c>
      <c r="Q47" s="7" t="n">
        <v>4</v>
      </c>
      <c r="R47" s="7" t="n">
        <v>0</v>
      </c>
      <c r="S47" s="7" t="n">
        <v>4</v>
      </c>
      <c r="T47" s="7"/>
      <c r="U47" s="7"/>
      <c r="V47" s="7"/>
      <c r="W47" s="8" t="s">
        <v>120</v>
      </c>
      <c r="X47" s="1" t="n">
        <f aca="false">IF(AND(I47="",K47=""),IF(N47&lt;&gt;"",N47,""),IF(AND(I47&lt;&gt;"",K47=""),I47,IF(AND(I47="",K47&lt;&gt;""),K47,IF(ABS(J47-1)&lt;=ABS(13-L47),I47,K47))))</f>
        <v>1</v>
      </c>
      <c r="Y47" s="1" t="n">
        <f aca="false">IF(AND(P47="",R47=""),IF(U47&lt;&gt;"",U47,""),IF(AND(P47&lt;&gt;"",R47=""),P47,IF(AND(P47="",R47&lt;&gt;""),R47,IF(ABS(Q47-1)&lt;=ABS(13-S47),P47,R47))))</f>
        <v>0</v>
      </c>
      <c r="Z47" s="1" t="str">
        <f aca="false">IF(OR(X47="",Y47=""),"",IF(B47="ADD",IF(AND(Y47=0,X47=1),"TRUE","FALSE"),IF(B47="REMOVE",IF(AND(Y47=1,X47=0),"TRUE","FALSE"),IF(B47="NONCI",IF(AND(Y47=0,X47=0),"TRUE","FALSE"),""))))</f>
        <v>TRUE</v>
      </c>
    </row>
    <row r="48" customFormat="false" ht="15" hidden="false" customHeight="false" outlineLevel="0" collapsed="false">
      <c r="A48" s="1" t="n">
        <v>46</v>
      </c>
      <c r="B48" s="1" t="s">
        <v>28</v>
      </c>
      <c r="C48" s="1" t="s">
        <v>122</v>
      </c>
      <c r="D48" s="1" t="s">
        <v>116</v>
      </c>
      <c r="E48" s="1" t="n">
        <v>2.15362165090984</v>
      </c>
      <c r="F48" s="1" t="n">
        <v>41.3781971000936</v>
      </c>
      <c r="G48" s="1" t="s">
        <v>123</v>
      </c>
      <c r="H48" s="3" t="str">
        <f aca="false">HYPERLINK("https://www.google.com/maps/@?api=1&amp;map_action=pano&amp;viewpoint=41.3781971000936,2.15362165090984","Open GSV")</f>
        <v>Open GSV</v>
      </c>
      <c r="I48" s="7"/>
      <c r="J48" s="7"/>
      <c r="K48" s="7" t="n">
        <v>1</v>
      </c>
      <c r="L48" s="7" t="n">
        <v>3</v>
      </c>
      <c r="M48" s="7" t="n">
        <v>2022</v>
      </c>
      <c r="N48" s="7" t="n">
        <v>1</v>
      </c>
      <c r="O48" s="7" t="n">
        <v>1</v>
      </c>
      <c r="P48" s="7" t="n">
        <v>0</v>
      </c>
      <c r="Q48" s="7" t="n">
        <v>7</v>
      </c>
      <c r="R48" s="7"/>
      <c r="S48" s="7"/>
      <c r="T48" s="7"/>
      <c r="U48" s="7"/>
      <c r="V48" s="7"/>
      <c r="W48" s="8" t="s">
        <v>124</v>
      </c>
      <c r="X48" s="1" t="n">
        <f aca="false">IF(AND(I48="",K48=""),IF(N48&lt;&gt;"",N48,""),IF(AND(I48&lt;&gt;"",K48=""),I48,IF(AND(I48="",K48&lt;&gt;""),K48,IF(ABS(J48-1)&lt;=ABS(13-L48),I48,K48))))</f>
        <v>1</v>
      </c>
      <c r="Y48" s="1" t="n">
        <f aca="false">IF(AND(P48="",R48=""),IF(U48&lt;&gt;"",U48,""),IF(AND(P48&lt;&gt;"",R48=""),P48,IF(AND(P48="",R48&lt;&gt;""),R48,IF(ABS(Q48-1)&lt;=ABS(13-S48),P48,R48))))</f>
        <v>0</v>
      </c>
      <c r="Z48" s="1" t="str">
        <f aca="false">IF(OR(X48="",Y48=""),"",IF(B48="ADD",IF(AND(Y48=0,X48=1),"TRUE","FALSE"),IF(B48="REMOVE",IF(AND(Y48=1,X48=0),"TRUE","FALSE"),IF(B48="NONCI",IF(AND(Y48=0,X48=0),"TRUE","FALSE"),""))))</f>
        <v>TRUE</v>
      </c>
    </row>
    <row r="49" customFormat="false" ht="15" hidden="false" customHeight="false" outlineLevel="0" collapsed="false">
      <c r="A49" s="1" t="n">
        <v>47</v>
      </c>
      <c r="B49" s="1" t="s">
        <v>28</v>
      </c>
      <c r="C49" s="1" t="s">
        <v>125</v>
      </c>
      <c r="D49" s="1" t="s">
        <v>116</v>
      </c>
      <c r="E49" s="1" t="n">
        <v>2.14763895462665</v>
      </c>
      <c r="F49" s="1" t="n">
        <v>41.3826129597012</v>
      </c>
      <c r="G49" s="1" t="s">
        <v>126</v>
      </c>
      <c r="H49" s="3" t="str">
        <f aca="false">HYPERLINK("https://www.google.com/maps/@?api=1&amp;map_action=pano&amp;viewpoint=41.3826129597012,2.14763895462665","Open GSV")</f>
        <v>Open GSV</v>
      </c>
      <c r="I49" s="8" t="n">
        <v>1</v>
      </c>
      <c r="J49" s="8" t="n">
        <v>5</v>
      </c>
      <c r="K49" s="8" t="n">
        <v>0</v>
      </c>
      <c r="L49" s="8" t="n">
        <v>3</v>
      </c>
      <c r="M49" s="8"/>
      <c r="N49" s="8"/>
      <c r="O49" s="8"/>
      <c r="P49" s="8" t="n">
        <v>0</v>
      </c>
      <c r="Q49" s="8" t="n">
        <v>7</v>
      </c>
      <c r="R49" s="8" t="n">
        <v>0</v>
      </c>
      <c r="S49" s="8" t="n">
        <v>4</v>
      </c>
      <c r="T49" s="8"/>
      <c r="U49" s="8"/>
      <c r="V49" s="8"/>
      <c r="W49" s="8" t="s">
        <v>38</v>
      </c>
      <c r="X49" s="1" t="n">
        <f aca="false">IF(AND(I49="",K49=""),IF(N49&lt;&gt;"",N49,""),IF(AND(I49&lt;&gt;"",K49=""),I49,IF(AND(I49="",K49&lt;&gt;""),K49,IF(ABS(J49-1)&lt;=ABS(13-L49),I49,K49))))</f>
        <v>1</v>
      </c>
      <c r="Y49" s="1" t="n">
        <f aca="false">IF(AND(P49="",R49=""),IF(U49&lt;&gt;"",U49,""),IF(AND(P49&lt;&gt;"",R49=""),P49,IF(AND(P49="",R49&lt;&gt;""),R49,IF(ABS(Q49-1)&lt;=ABS(13-S49),P49,R49))))</f>
        <v>0</v>
      </c>
      <c r="Z49" s="1" t="str">
        <f aca="false">IF(OR(X49="",Y49=""),"",IF(B49="ADD",IF(AND(Y49=0,X49=1),"TRUE","FALSE"),IF(B49="REMOVE",IF(AND(Y49=1,X49=0),"TRUE","FALSE"),IF(B49="NONCI",IF(AND(Y49=0,X49=0),"TRUE","FALSE"),""))))</f>
        <v>TRUE</v>
      </c>
    </row>
    <row r="50" customFormat="false" ht="15" hidden="false" customHeight="false" outlineLevel="0" collapsed="false">
      <c r="A50" s="1" t="n">
        <v>48</v>
      </c>
      <c r="B50" s="1" t="s">
        <v>28</v>
      </c>
      <c r="C50" s="1" t="s">
        <v>125</v>
      </c>
      <c r="D50" s="1" t="s">
        <v>116</v>
      </c>
      <c r="E50" s="1" t="n">
        <v>2.14820775338395</v>
      </c>
      <c r="F50" s="1" t="n">
        <v>41.3830424246768</v>
      </c>
      <c r="G50" s="1" t="s">
        <v>127</v>
      </c>
      <c r="H50" s="3" t="str">
        <f aca="false">HYPERLINK("https://www.google.com/maps/@?api=1&amp;map_action=pano&amp;viewpoint=41.3830424246768,2.14820775338395","Open GSV")</f>
        <v>Open GSV</v>
      </c>
      <c r="I50" s="7"/>
      <c r="J50" s="7"/>
      <c r="K50" s="7" t="n">
        <v>0</v>
      </c>
      <c r="L50" s="7" t="n">
        <v>3</v>
      </c>
      <c r="M50" s="7"/>
      <c r="N50" s="7"/>
      <c r="O50" s="7"/>
      <c r="P50" s="7" t="n">
        <v>0</v>
      </c>
      <c r="Q50" s="7" t="n">
        <v>7</v>
      </c>
      <c r="R50" s="7" t="n">
        <v>0</v>
      </c>
      <c r="S50" s="7" t="n">
        <v>4</v>
      </c>
      <c r="T50" s="7"/>
      <c r="U50" s="7"/>
      <c r="V50" s="7"/>
      <c r="W50" s="7"/>
      <c r="X50" s="1" t="n">
        <f aca="false">IF(AND(I50="",K50=""),IF(N50&lt;&gt;"",N50,""),IF(AND(I50&lt;&gt;"",K50=""),I50,IF(AND(I50="",K50&lt;&gt;""),K50,IF(ABS(J50-1)&lt;=ABS(13-L50),I50,K50))))</f>
        <v>0</v>
      </c>
      <c r="Y50" s="1" t="n">
        <f aca="false">IF(AND(P50="",R50=""),IF(U50&lt;&gt;"",U50,""),IF(AND(P50&lt;&gt;"",R50=""),P50,IF(AND(P50="",R50&lt;&gt;""),R50,IF(ABS(Q50-1)&lt;=ABS(13-S50),P50,R50))))</f>
        <v>0</v>
      </c>
      <c r="Z50" s="1" t="str">
        <f aca="false">IF(OR(X50="",Y50=""),"",IF(B50="ADD",IF(AND(Y50=0,X50=1),"TRUE","FALSE"),IF(B50="REMOVE",IF(AND(Y50=1,X50=0),"TRUE","FALSE"),IF(B50="NONCI",IF(AND(Y50=0,X50=0),"TRUE","FALSE"),""))))</f>
        <v>FALSE</v>
      </c>
    </row>
  </sheetData>
  <mergeCells count="2">
    <mergeCell ref="I1:O1"/>
    <mergeCell ref="P1:V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Z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" topLeftCell="G3" activePane="bottomRight" state="frozen"/>
      <selection pane="topLeft" activeCell="A1" activeCellId="0" sqref="A1"/>
      <selection pane="topRight" activeCell="G1" activeCellId="0" sqref="G1"/>
      <selection pane="bottomLeft" activeCell="A3" activeCellId="0" sqref="A3"/>
      <selection pane="bottomRight" activeCell="L27" activeCellId="1" sqref="I1:T2 L27"/>
    </sheetView>
  </sheetViews>
  <sheetFormatPr defaultColWidth="10.6796875" defaultRowHeight="15" zeroHeight="false" outlineLevelRow="0" outlineLevelCol="0"/>
  <cols>
    <col collapsed="false" customWidth="true" hidden="false" outlineLevel="0" max="26" min="1" style="1" width="13.71"/>
  </cols>
  <sheetData>
    <row r="1" customFormat="false" ht="15" hidden="false" customHeight="false" outlineLevel="0" collapsed="false">
      <c r="I1" s="2" t="s">
        <v>0</v>
      </c>
      <c r="J1" s="2"/>
      <c r="K1" s="2"/>
      <c r="L1" s="2"/>
      <c r="M1" s="2"/>
      <c r="N1" s="2"/>
      <c r="O1" s="2"/>
      <c r="P1" s="2" t="s">
        <v>1</v>
      </c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3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5" t="s">
        <v>14</v>
      </c>
      <c r="N2" s="5" t="s">
        <v>15</v>
      </c>
      <c r="O2" s="5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5" t="s">
        <v>21</v>
      </c>
      <c r="U2" s="5" t="s">
        <v>22</v>
      </c>
      <c r="V2" s="5" t="s">
        <v>23</v>
      </c>
      <c r="W2" s="6" t="s">
        <v>24</v>
      </c>
      <c r="X2" s="7" t="s">
        <v>25</v>
      </c>
      <c r="Y2" s="7" t="s">
        <v>26</v>
      </c>
      <c r="Z2" s="7" t="s">
        <v>27</v>
      </c>
    </row>
    <row r="3" customFormat="false" ht="15" hidden="false" customHeight="false" outlineLevel="0" collapsed="false">
      <c r="A3" s="1" t="n">
        <v>1</v>
      </c>
      <c r="B3" s="1" t="s">
        <v>128</v>
      </c>
      <c r="C3" s="1" t="s">
        <v>29</v>
      </c>
      <c r="D3" s="1" t="s">
        <v>30</v>
      </c>
      <c r="E3" s="1" t="n">
        <v>2.10400617396064</v>
      </c>
      <c r="F3" s="1" t="n">
        <v>41.3849403989724</v>
      </c>
      <c r="G3" s="1" t="s">
        <v>129</v>
      </c>
      <c r="H3" s="3" t="str">
        <f aca="false">HYPERLINK("https://www.google.com/maps/@?api=1&amp;map_action=pano&amp;viewpoint=41.3849403989724,2.10400617396064","Open GSV")</f>
        <v>Open GSV</v>
      </c>
      <c r="I3" s="1" t="n">
        <v>0</v>
      </c>
      <c r="J3" s="1" t="n">
        <v>7</v>
      </c>
      <c r="K3" s="1" t="n">
        <v>0</v>
      </c>
      <c r="L3" s="1" t="n">
        <v>7</v>
      </c>
      <c r="M3" s="8"/>
      <c r="N3" s="8"/>
      <c r="O3" s="8"/>
      <c r="P3" s="1" t="n">
        <v>0</v>
      </c>
      <c r="Q3" s="1" t="n">
        <v>5</v>
      </c>
      <c r="R3" s="1" t="n">
        <v>1</v>
      </c>
      <c r="S3" s="1" t="n">
        <v>8</v>
      </c>
      <c r="W3" s="8" t="s">
        <v>60</v>
      </c>
      <c r="X3" s="1" t="n">
        <f aca="false">IF(AND(I3="",K3=""),IF(N3&lt;&gt;"",N3,""),IF(AND(I3&lt;&gt;"",K3=""),I3,IF(AND(I3="",K3&lt;&gt;""),K3,IF(ABS(J3-1)&lt;=ABS(13-L3),I3,K3))))</f>
        <v>0</v>
      </c>
      <c r="Y3" s="1" t="n">
        <f aca="false">IF(AND(P3="",R3=""),IF(U3&lt;&gt;"",U3,""),IF(AND(P3&lt;&gt;"",R3=""),P3,IF(AND(P3="",R3&lt;&gt;""),R3,IF(ABS(Q3-1)&lt;=ABS(13-S3),P3,R3))))</f>
        <v>0</v>
      </c>
      <c r="Z3" s="1" t="str">
        <f aca="false">IF(OR(X3="",Y3=""),"",IF(B3="ADD",IF(AND(Y3=0,X3=1),"TRUE","FALSE"),IF(B3="REMOVE",IF(AND(Y3=1,X3=0),"TRUE","FALSE"),IF(B3="NONCI",IF(AND(Y3=0,X3=0),"TRUE","FALSE"),""))))</f>
        <v>FALSE</v>
      </c>
    </row>
    <row r="4" customFormat="false" ht="15" hidden="false" customHeight="false" outlineLevel="0" collapsed="false">
      <c r="A4" s="1" t="n">
        <v>2</v>
      </c>
      <c r="B4" s="1" t="s">
        <v>128</v>
      </c>
      <c r="C4" s="1" t="s">
        <v>130</v>
      </c>
      <c r="D4" s="1" t="s">
        <v>44</v>
      </c>
      <c r="E4" s="1" t="n">
        <v>2.20077984083242</v>
      </c>
      <c r="F4" s="1" t="n">
        <v>41.4201900660698</v>
      </c>
      <c r="G4" s="1" t="s">
        <v>131</v>
      </c>
      <c r="H4" s="3" t="str">
        <f aca="false">HYPERLINK("https://www.google.com/maps/@?api=1&amp;map_action=pano&amp;viewpoint=41.4201900660698,2.20077984083242","Open GSV")</f>
        <v>Open GSV</v>
      </c>
      <c r="I4" s="1" t="n">
        <v>1</v>
      </c>
      <c r="J4" s="1" t="n">
        <v>7</v>
      </c>
      <c r="K4" s="1" t="n">
        <v>1</v>
      </c>
      <c r="L4" s="1" t="n">
        <v>10</v>
      </c>
      <c r="P4" s="1" t="n">
        <v>1</v>
      </c>
      <c r="Q4" s="1" t="n">
        <v>4</v>
      </c>
      <c r="R4" s="1" t="n">
        <v>1</v>
      </c>
      <c r="S4" s="1" t="n">
        <v>6</v>
      </c>
      <c r="W4" s="8"/>
      <c r="X4" s="1" t="n">
        <f aca="false">IF(AND(I4="",K4=""),IF(N4&lt;&gt;"",N4,""),IF(AND(I4&lt;&gt;"",K4=""),I4,IF(AND(I4="",K4&lt;&gt;""),K4,IF(ABS(J4-1)&lt;=ABS(13-L4),I4,K4))))</f>
        <v>1</v>
      </c>
      <c r="Y4" s="1" t="n">
        <f aca="false">IF(AND(P4="",R4=""),IF(U4&lt;&gt;"",U4,""),IF(AND(P4&lt;&gt;"",R4=""),P4,IF(AND(P4="",R4&lt;&gt;""),R4,IF(ABS(Q4-1)&lt;=ABS(13-S4),P4,R4))))</f>
        <v>1</v>
      </c>
      <c r="Z4" s="1" t="str">
        <f aca="false">IF(OR(X4="",Y4=""),"",IF(B4="ADD",IF(AND(Y4=0,X4=1),"TRUE","FALSE"),IF(B4="REMOVE",IF(AND(Y4=1,X4=0),"TRUE","FALSE"),IF(B4="NONCI",IF(AND(Y4=0,X4=0),"TRUE","FALSE"),""))))</f>
        <v>FALSE</v>
      </c>
    </row>
    <row r="5" customFormat="false" ht="15" hidden="false" customHeight="false" outlineLevel="0" collapsed="false">
      <c r="A5" s="1" t="n">
        <v>3</v>
      </c>
      <c r="B5" s="1" t="s">
        <v>128</v>
      </c>
      <c r="C5" s="1" t="s">
        <v>65</v>
      </c>
      <c r="D5" s="1" t="s">
        <v>62</v>
      </c>
      <c r="E5" s="1" t="n">
        <v>2.14838582462673</v>
      </c>
      <c r="F5" s="1" t="n">
        <v>41.3753719135312</v>
      </c>
      <c r="G5" s="1" t="s">
        <v>132</v>
      </c>
      <c r="H5" s="3" t="str">
        <f aca="false">HYPERLINK("https://www.google.com/maps/@?api=1&amp;map_action=pano&amp;viewpoint=41.3753719135312,2.14838582462673","Open GSV")</f>
        <v>Open GSV</v>
      </c>
      <c r="K5" s="1" t="n">
        <v>0</v>
      </c>
      <c r="L5" s="1" t="n">
        <v>9</v>
      </c>
      <c r="M5" s="8"/>
      <c r="N5" s="8"/>
      <c r="O5" s="8"/>
      <c r="P5" s="1" t="n">
        <v>0</v>
      </c>
      <c r="Q5" s="1" t="n">
        <v>7</v>
      </c>
      <c r="R5" s="1" t="n">
        <v>0</v>
      </c>
      <c r="S5" s="1" t="n">
        <v>5</v>
      </c>
      <c r="W5" s="8" t="s">
        <v>60</v>
      </c>
      <c r="X5" s="1" t="n">
        <f aca="false">IF(AND(I5="",K5=""),IF(N5&lt;&gt;"",N5,""),IF(AND(I5&lt;&gt;"",K5=""),I5,IF(AND(I5="",K5&lt;&gt;""),K5,IF(ABS(J5-1)&lt;=ABS(13-L5),I5,K5))))</f>
        <v>0</v>
      </c>
      <c r="Y5" s="1" t="n">
        <f aca="false">IF(AND(P5="",R5=""),IF(U5&lt;&gt;"",U5,""),IF(AND(P5&lt;&gt;"",R5=""),P5,IF(AND(P5="",R5&lt;&gt;""),R5,IF(ABS(Q5-1)&lt;=ABS(13-S5),P5,R5))))</f>
        <v>0</v>
      </c>
      <c r="Z5" s="1" t="str">
        <f aca="false">IF(OR(X5="",Y5=""),"",IF(B5="ADD",IF(AND(Y5=0,X5=1),"TRUE","FALSE"),IF(B5="REMOVE",IF(AND(Y5=1,X5=0),"TRUE","FALSE"),IF(B5="NONCI",IF(AND(Y5=0,X5=0),"TRUE","FALSE"),""))))</f>
        <v>FALSE</v>
      </c>
    </row>
    <row r="6" customFormat="false" ht="15" hidden="false" customHeight="false" outlineLevel="0" collapsed="false">
      <c r="A6" s="1" t="n">
        <v>4</v>
      </c>
      <c r="B6" s="1" t="s">
        <v>128</v>
      </c>
      <c r="C6" s="1" t="s">
        <v>133</v>
      </c>
      <c r="D6" s="1" t="s">
        <v>72</v>
      </c>
      <c r="E6" s="1" t="n">
        <v>2.17979187635586</v>
      </c>
      <c r="F6" s="1" t="n">
        <v>41.4325734990105</v>
      </c>
      <c r="G6" s="1" t="s">
        <v>134</v>
      </c>
      <c r="H6" s="3" t="str">
        <f aca="false">HYPERLINK("https://www.google.com/maps/@?api=1&amp;map_action=pano&amp;viewpoint=41.4325734990105,2.17979187635586","Open GSV")</f>
        <v>Open GSV</v>
      </c>
      <c r="K6" s="1" t="n">
        <v>0</v>
      </c>
      <c r="L6" s="1" t="n">
        <v>10</v>
      </c>
      <c r="P6" s="1" t="n">
        <v>0</v>
      </c>
      <c r="Q6" s="1" t="n">
        <v>4</v>
      </c>
      <c r="R6" s="1" t="n">
        <v>0</v>
      </c>
      <c r="S6" s="1" t="n">
        <v>6</v>
      </c>
      <c r="X6" s="1" t="n">
        <f aca="false">IF(AND(I6="",K6=""),IF(N6&lt;&gt;"",N6,""),IF(AND(I6&lt;&gt;"",K6=""),I6,IF(AND(I6="",K6&lt;&gt;""),K6,IF(ABS(J6-1)&lt;=ABS(13-L6),I6,K6))))</f>
        <v>0</v>
      </c>
      <c r="Y6" s="1" t="n">
        <f aca="false">IF(AND(P6="",R6=""),IF(U6&lt;&gt;"",U6,""),IF(AND(P6&lt;&gt;"",R6=""),P6,IF(AND(P6="",R6&lt;&gt;""),R6,IF(ABS(Q6-1)&lt;=ABS(13-S6),P6,R6))))</f>
        <v>0</v>
      </c>
      <c r="Z6" s="1" t="str">
        <f aca="false">IF(OR(X6="",Y6=""),"",IF(B6="ADD",IF(AND(Y6=0,X6=1),"TRUE","FALSE"),IF(B6="REMOVE",IF(AND(Y6=1,X6=0),"TRUE","FALSE"),IF(B6="NONCI",IF(AND(Y6=0,X6=0),"TRUE","FALSE"),""))))</f>
        <v>FALSE</v>
      </c>
    </row>
    <row r="7" customFormat="false" ht="15" hidden="false" customHeight="false" outlineLevel="0" collapsed="false">
      <c r="A7" s="1" t="n">
        <v>5</v>
      </c>
      <c r="B7" s="1" t="s">
        <v>128</v>
      </c>
      <c r="C7" s="1" t="s">
        <v>71</v>
      </c>
      <c r="D7" s="1" t="s">
        <v>72</v>
      </c>
      <c r="E7" s="1" t="n">
        <v>2.17443553665477</v>
      </c>
      <c r="F7" s="1" t="n">
        <v>41.4302401188698</v>
      </c>
      <c r="G7" s="1" t="s">
        <v>135</v>
      </c>
      <c r="H7" s="3" t="str">
        <f aca="false">HYPERLINK("https://www.google.com/maps/@?api=1&amp;map_action=pano&amp;viewpoint=41.4302401188698,2.17443553665477","Open GSV")</f>
        <v>Open GSV</v>
      </c>
      <c r="I7" s="1" t="n">
        <v>0</v>
      </c>
      <c r="J7" s="1" t="n">
        <v>7</v>
      </c>
      <c r="K7" s="1" t="n">
        <v>0</v>
      </c>
      <c r="L7" s="1" t="n">
        <v>3</v>
      </c>
      <c r="P7" s="1" t="n">
        <v>0</v>
      </c>
      <c r="Q7" s="1" t="n">
        <v>4</v>
      </c>
      <c r="R7" s="1" t="n">
        <v>0</v>
      </c>
      <c r="S7" s="1" t="n">
        <v>7</v>
      </c>
      <c r="X7" s="1" t="n">
        <f aca="false">IF(AND(I7="",K7=""),IF(N7&lt;&gt;"",N7,""),IF(AND(I7&lt;&gt;"",K7=""),I7,IF(AND(I7="",K7&lt;&gt;""),K7,IF(ABS(J7-1)&lt;=ABS(13-L7),I7,K7))))</f>
        <v>0</v>
      </c>
      <c r="Y7" s="1" t="n">
        <f aca="false">IF(AND(P7="",R7=""),IF(U7&lt;&gt;"",U7,""),IF(AND(P7&lt;&gt;"",R7=""),P7,IF(AND(P7="",R7&lt;&gt;""),R7,IF(ABS(Q7-1)&lt;=ABS(13-S7),P7,R7))))</f>
        <v>0</v>
      </c>
      <c r="Z7" s="1" t="str">
        <f aca="false">IF(OR(X7="",Y7=""),"",IF(B7="ADD",IF(AND(Y7=0,X7=1),"TRUE","FALSE"),IF(B7="REMOVE",IF(AND(Y7=1,X7=0),"TRUE","FALSE"),IF(B7="NONCI",IF(AND(Y7=0,X7=0),"TRUE","FALSE"),""))))</f>
        <v>FALSE</v>
      </c>
    </row>
    <row r="8" customFormat="false" ht="15" hidden="false" customHeight="false" outlineLevel="0" collapsed="false">
      <c r="A8" s="1" t="n">
        <v>6</v>
      </c>
      <c r="B8" s="1" t="s">
        <v>128</v>
      </c>
      <c r="C8" s="1" t="s">
        <v>91</v>
      </c>
      <c r="D8" s="1" t="s">
        <v>88</v>
      </c>
      <c r="E8" s="1" t="n">
        <v>2.15681272246317</v>
      </c>
      <c r="F8" s="1" t="n">
        <v>41.3843400360326</v>
      </c>
      <c r="G8" s="1" t="s">
        <v>136</v>
      </c>
      <c r="H8" s="3" t="str">
        <f aca="false">HYPERLINK("https://www.google.com/maps/@?api=1&amp;map_action=pano&amp;viewpoint=41.3843400360326,2.15681272246317","Open GSV")</f>
        <v>Open GSV</v>
      </c>
      <c r="K8" s="1" t="n">
        <v>0</v>
      </c>
      <c r="L8" s="1" t="n">
        <v>7</v>
      </c>
      <c r="P8" s="1" t="n">
        <v>1</v>
      </c>
      <c r="Q8" s="1" t="n">
        <v>7</v>
      </c>
      <c r="R8" s="1" t="n">
        <v>1</v>
      </c>
      <c r="S8" s="1" t="n">
        <v>5</v>
      </c>
      <c r="W8" s="8" t="s">
        <v>83</v>
      </c>
      <c r="X8" s="1" t="n">
        <f aca="false">IF(AND(I8="",K8=""),IF(N8&lt;&gt;"",N8,""),IF(AND(I8&lt;&gt;"",K8=""),I8,IF(AND(I8="",K8&lt;&gt;""),K8,IF(ABS(J8-1)&lt;=ABS(13-L8),I8,K8))))</f>
        <v>0</v>
      </c>
      <c r="Y8" s="1" t="n">
        <f aca="false">IF(AND(P8="",R8=""),IF(U8&lt;&gt;"",U8,""),IF(AND(P8&lt;&gt;"",R8=""),P8,IF(AND(P8="",R8&lt;&gt;""),R8,IF(ABS(Q8-1)&lt;=ABS(13-S8),P8,R8))))</f>
        <v>1</v>
      </c>
      <c r="Z8" s="1" t="str">
        <f aca="false">IF(OR(X8="",Y8=""),"",IF(B8="ADD",IF(AND(Y8=0,X8=1),"TRUE","FALSE"),IF(B8="REMOVE",IF(AND(Y8=1,X8=0),"TRUE","FALSE"),IF(B8="NONCI",IF(AND(Y8=0,X8=0),"TRUE","FALSE"),""))))</f>
        <v>TRUE</v>
      </c>
    </row>
    <row r="9" customFormat="false" ht="15" hidden="false" customHeight="false" outlineLevel="0" collapsed="false">
      <c r="A9" s="1" t="n">
        <v>7</v>
      </c>
      <c r="B9" s="1" t="s">
        <v>128</v>
      </c>
      <c r="C9" s="1" t="s">
        <v>91</v>
      </c>
      <c r="D9" s="1" t="s">
        <v>88</v>
      </c>
      <c r="E9" s="1" t="n">
        <v>2.15726201275132</v>
      </c>
      <c r="F9" s="1" t="n">
        <v>41.3832798659396</v>
      </c>
      <c r="G9" s="1" t="s">
        <v>137</v>
      </c>
      <c r="H9" s="3" t="str">
        <f aca="false">HYPERLINK("https://www.google.com/maps/@?api=1&amp;map_action=pano&amp;viewpoint=41.3832798659396,2.15726201275132","Open GSV")</f>
        <v>Open GSV</v>
      </c>
      <c r="W9" s="8" t="s">
        <v>138</v>
      </c>
      <c r="X9" s="1" t="str">
        <f aca="false">IF(AND(I9="",K9=""),IF(N9&lt;&gt;"",N9,""),IF(AND(I9&lt;&gt;"",K9=""),I9,IF(AND(I9="",K9&lt;&gt;""),K9,IF(ABS(J9-1)&lt;=ABS(13-L9),I9,K9))))</f>
        <v/>
      </c>
      <c r="Y9" s="1" t="str">
        <f aca="false">IF(AND(P9="",R9=""),IF(U9&lt;&gt;"",U9,""),IF(AND(P9&lt;&gt;"",R9=""),P9,IF(AND(P9="",R9&lt;&gt;""),R9,IF(ABS(Q9-1)&lt;=ABS(13-S9),P9,R9))))</f>
        <v/>
      </c>
      <c r="Z9" s="1" t="str">
        <f aca="false">IF(OR(X9="",Y9=""),"",IF(B9="ADD",IF(AND(Y9=0,X9=1),"TRUE","FALSE"),IF(B9="REMOVE",IF(AND(Y9=1,X9=0),"TRUE","FALSE"),IF(B9="NONCI",IF(AND(Y9=0,X9=0),"TRUE","FALSE"),""))))</f>
        <v/>
      </c>
    </row>
    <row r="10" customFormat="false" ht="15" hidden="false" customHeight="false" outlineLevel="0" collapsed="false">
      <c r="A10" s="1" t="n">
        <v>8</v>
      </c>
      <c r="B10" s="1" t="s">
        <v>128</v>
      </c>
      <c r="C10" s="1" t="s">
        <v>118</v>
      </c>
      <c r="D10" s="1" t="s">
        <v>116</v>
      </c>
      <c r="E10" s="1" t="n">
        <v>2.15213844443264</v>
      </c>
      <c r="F10" s="1" t="n">
        <v>41.3809395290626</v>
      </c>
      <c r="G10" s="1" t="s">
        <v>139</v>
      </c>
      <c r="H10" s="3" t="str">
        <f aca="false">HYPERLINK("https://www.google.com/maps/@?api=1&amp;map_action=pano&amp;viewpoint=41.3809395290626,2.15213844443264","Open GSV")</f>
        <v>Open GSV</v>
      </c>
      <c r="K10" s="1" t="n">
        <v>0</v>
      </c>
      <c r="L10" s="1" t="n">
        <v>3</v>
      </c>
      <c r="P10" s="1" t="n">
        <v>1</v>
      </c>
      <c r="Q10" s="1" t="n">
        <v>7</v>
      </c>
      <c r="R10" s="1" t="n">
        <v>1</v>
      </c>
      <c r="S10" s="1" t="n">
        <v>4</v>
      </c>
      <c r="X10" s="1" t="n">
        <f aca="false">IF(AND(I10="",K10=""),IF(N10&lt;&gt;"",N10,""),IF(AND(I10&lt;&gt;"",K10=""),I10,IF(AND(I10="",K10&lt;&gt;""),K10,IF(ABS(J10-1)&lt;=ABS(13-L10),I10,K10))))</f>
        <v>0</v>
      </c>
      <c r="Y10" s="1" t="n">
        <f aca="false">IF(AND(P10="",R10=""),IF(U10&lt;&gt;"",U10,""),IF(AND(P10&lt;&gt;"",R10=""),P10,IF(AND(P10="",R10&lt;&gt;""),R10,IF(ABS(Q10-1)&lt;=ABS(13-S10),P10,R10))))</f>
        <v>1</v>
      </c>
      <c r="Z10" s="1" t="str">
        <f aca="false">IF(OR(X10="",Y10=""),"",IF(B10="ADD",IF(AND(Y10=0,X10=1),"TRUE","FALSE"),IF(B10="REMOVE",IF(AND(Y10=1,X10=0),"TRUE","FALSE"),IF(B10="NONCI",IF(AND(Y10=0,X10=0),"TRUE","FALSE"),""))))</f>
        <v>TRUE</v>
      </c>
    </row>
  </sheetData>
  <mergeCells count="2">
    <mergeCell ref="I1:O1"/>
    <mergeCell ref="P1:V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500"/>
    <pageSetUpPr fitToPage="false"/>
  </sheetPr>
  <dimension ref="A1:X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I1" activeCellId="0" sqref="I1:T2"/>
    </sheetView>
  </sheetViews>
  <sheetFormatPr defaultColWidth="10.6796875" defaultRowHeight="15" zeroHeight="false" outlineLevelRow="0" outlineLevelCol="0"/>
  <cols>
    <col collapsed="false" customWidth="true" hidden="false" outlineLevel="0" max="24" min="1" style="1" width="13.71"/>
    <col collapsed="false" customWidth="true" hidden="false" outlineLevel="0" max="16384" min="16383" style="0" width="11.53"/>
  </cols>
  <sheetData>
    <row r="1" customFormat="false" ht="15" hidden="false" customHeight="false" outlineLevel="0" collapsed="false">
      <c r="I1" s="9" t="s">
        <v>140</v>
      </c>
      <c r="J1" s="9"/>
      <c r="K1" s="9"/>
      <c r="L1" s="9"/>
      <c r="M1" s="9"/>
      <c r="N1" s="9"/>
      <c r="O1" s="9" t="s">
        <v>141</v>
      </c>
      <c r="P1" s="9"/>
      <c r="Q1" s="9"/>
      <c r="R1" s="9"/>
      <c r="S1" s="9"/>
      <c r="T1" s="9"/>
    </row>
    <row r="2" customFormat="false" ht="15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3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1" t="s">
        <v>142</v>
      </c>
      <c r="N2" s="11" t="s">
        <v>143</v>
      </c>
      <c r="O2" s="10" t="s">
        <v>17</v>
      </c>
      <c r="P2" s="10" t="s">
        <v>18</v>
      </c>
      <c r="Q2" s="10" t="s">
        <v>19</v>
      </c>
      <c r="R2" s="10" t="s">
        <v>20</v>
      </c>
      <c r="S2" s="11" t="s">
        <v>144</v>
      </c>
      <c r="T2" s="11" t="s">
        <v>145</v>
      </c>
      <c r="U2" s="6" t="s">
        <v>24</v>
      </c>
      <c r="V2" s="7" t="s">
        <v>25</v>
      </c>
      <c r="W2" s="7" t="s">
        <v>26</v>
      </c>
      <c r="X2" s="7" t="s">
        <v>27</v>
      </c>
    </row>
    <row r="3" customFormat="false" ht="15" hidden="false" customHeight="false" outlineLevel="0" collapsed="false">
      <c r="A3" s="1" t="n">
        <v>1</v>
      </c>
      <c r="B3" s="1" t="s">
        <v>146</v>
      </c>
      <c r="C3" s="1" t="s">
        <v>29</v>
      </c>
      <c r="D3" s="1" t="s">
        <v>30</v>
      </c>
      <c r="E3" s="1" t="n">
        <v>2.10441235059915</v>
      </c>
      <c r="F3" s="1" t="n">
        <v>41.3895594523829</v>
      </c>
      <c r="G3" s="1" t="s">
        <v>147</v>
      </c>
      <c r="H3" s="3" t="str">
        <f aca="false">HYPERLINK("https://www.google.com/maps/@?api=1&amp;map_action=pano&amp;viewpoint=41.3895594523829,2.10441235059915","Open GSV")</f>
        <v>Open GSV</v>
      </c>
      <c r="M3" s="8" t="n">
        <v>0</v>
      </c>
      <c r="N3" s="8" t="n">
        <v>2</v>
      </c>
      <c r="Q3" s="1" t="n">
        <v>0</v>
      </c>
      <c r="R3" s="1" t="n">
        <v>8</v>
      </c>
      <c r="U3" s="8" t="s">
        <v>148</v>
      </c>
      <c r="V3" s="1" t="n">
        <f aca="false">IF(AND(I3="",K3=""),IF(M3&lt;&gt;"",M3,""),IF(AND(I3&lt;&gt;"",K3=""),I3,IF(AND(I3="",K3&lt;&gt;""),K3,IF(ABS(J3-1)&lt;=ABS(13-L3),I3,K3))))</f>
        <v>0</v>
      </c>
      <c r="W3" s="1" t="n">
        <f aca="false">IF(AND(O3="",Q3=""),IF(S3&lt;&gt;"",S3,""),IF(AND(O3&lt;&gt;"",Q3=""),O3,IF(AND(O3="",Q3&lt;&gt;""),Q3,IF(ABS(P3-1)&lt;=ABS(13-R3),O3,Q3))))</f>
        <v>0</v>
      </c>
      <c r="X3" s="1" t="str">
        <f aca="false">IF(OR(V3="",W3=""),"",IF(B3="ADD",IF(AND(W3=0,V3=1),"TRUE","FALSE"),IF(B3="REMOVE",IF(AND(W3=1,V3=0),"TRUE","FALSE"),IF(B3="NONCI",IF(AND(W3=0,V3=0),"TRUE","FALSE"),""))))</f>
        <v>TRUE</v>
      </c>
    </row>
    <row r="4" customFormat="false" ht="15" hidden="false" customHeight="false" outlineLevel="0" collapsed="false">
      <c r="A4" s="1" t="n">
        <v>2</v>
      </c>
      <c r="B4" s="1" t="s">
        <v>146</v>
      </c>
      <c r="C4" s="1" t="s">
        <v>149</v>
      </c>
      <c r="D4" s="1" t="s">
        <v>30</v>
      </c>
      <c r="E4" s="1" t="n">
        <v>2.16919488937241</v>
      </c>
      <c r="F4" s="1" t="n">
        <v>41.4216820407901</v>
      </c>
      <c r="G4" s="1" t="s">
        <v>150</v>
      </c>
      <c r="H4" s="3" t="str">
        <f aca="false">HYPERLINK("https://www.google.com/maps/@?api=1&amp;map_action=pano&amp;viewpoint=41.4216820407901,2.16919488937241","Open GSV")</f>
        <v>Open GSV</v>
      </c>
      <c r="I4" s="1" t="n">
        <v>0</v>
      </c>
      <c r="J4" s="1" t="n">
        <v>7</v>
      </c>
      <c r="Q4" s="1" t="n">
        <v>0</v>
      </c>
      <c r="R4" s="1" t="n">
        <v>7</v>
      </c>
      <c r="U4" s="8"/>
      <c r="V4" s="1" t="n">
        <f aca="false">IF(AND(I4="",K4=""),IF(M4&lt;&gt;"",M4,""),IF(AND(I4&lt;&gt;"",K4=""),I4,IF(AND(I4="",K4&lt;&gt;""),K4,IF(ABS(J4-1)&lt;=ABS(13-L4),I4,K4))))</f>
        <v>0</v>
      </c>
      <c r="W4" s="1" t="n">
        <f aca="false">IF(AND(O4="",Q4=""),IF(S4&lt;&gt;"",S4,""),IF(AND(O4&lt;&gt;"",Q4=""),O4,IF(AND(O4="",Q4&lt;&gt;""),Q4,IF(ABS(P4-1)&lt;=ABS(13-R4),O4,Q4))))</f>
        <v>0</v>
      </c>
      <c r="X4" s="1" t="str">
        <f aca="false">IF(OR(V4="",W4=""),"",IF(B4="ADD",IF(AND(W4=0,V4=1),"TRUE","FALSE"),IF(B4="REMOVE",IF(AND(W4=1,V4=0),"TRUE","FALSE"),IF(B4="NONCI",IF(AND(W4=0,V4=0),"TRUE","FALSE"),""))))</f>
        <v>TRUE</v>
      </c>
    </row>
    <row r="5" customFormat="false" ht="15" hidden="false" customHeight="false" outlineLevel="0" collapsed="false">
      <c r="A5" s="1" t="n">
        <v>3</v>
      </c>
      <c r="B5" s="1" t="s">
        <v>146</v>
      </c>
      <c r="C5" s="1" t="s">
        <v>33</v>
      </c>
      <c r="D5" s="1" t="s">
        <v>30</v>
      </c>
      <c r="E5" s="1" t="n">
        <v>2.17916326903095</v>
      </c>
      <c r="F5" s="1" t="n">
        <v>41.4549903058703</v>
      </c>
      <c r="G5" s="1" t="s">
        <v>151</v>
      </c>
      <c r="H5" s="3" t="str">
        <f aca="false">HYPERLINK("https://www.google.com/maps/@?api=1&amp;map_action=pano&amp;viewpoint=41.4549903058703,2.17916326903095","Open GSV")</f>
        <v>Open GSV</v>
      </c>
      <c r="M5" s="8"/>
      <c r="N5" s="8"/>
      <c r="U5" s="8" t="s">
        <v>152</v>
      </c>
      <c r="V5" s="1" t="str">
        <f aca="false">IF(AND(I5="",K5=""),IF(M5&lt;&gt;"",M5,""),IF(AND(I5&lt;&gt;"",K5=""),I5,IF(AND(I5="",K5&lt;&gt;""),K5,IF(ABS(J5-1)&lt;=ABS(13-L5),I5,K5))))</f>
        <v/>
      </c>
      <c r="W5" s="1" t="str">
        <f aca="false">IF(AND(O5="",Q5=""),IF(S5&lt;&gt;"",S5,""),IF(AND(O5&lt;&gt;"",Q5=""),O5,IF(AND(O5="",Q5&lt;&gt;""),Q5,IF(ABS(P5-1)&lt;=ABS(13-R5),O5,Q5))))</f>
        <v/>
      </c>
      <c r="X5" s="1" t="str">
        <f aca="false">IF(OR(V5="",W5=""),"",IF(B5="ADD",IF(AND(W5=0,V5=1),"TRUE","FALSE"),IF(B5="REMOVE",IF(AND(W5=1,V5=0),"TRUE","FALSE"),IF(B5="NONCI",IF(AND(W5=0,V5=0),"TRUE","FALSE"),""))))</f>
        <v/>
      </c>
    </row>
    <row r="6" customFormat="false" ht="15" hidden="false" customHeight="false" outlineLevel="0" collapsed="false">
      <c r="A6" s="1" t="n">
        <v>4</v>
      </c>
      <c r="B6" s="1" t="s">
        <v>146</v>
      </c>
      <c r="C6" s="1" t="s">
        <v>36</v>
      </c>
      <c r="D6" s="1" t="s">
        <v>30</v>
      </c>
      <c r="E6" s="1" t="n">
        <v>2.13908529805925</v>
      </c>
      <c r="F6" s="1" t="n">
        <v>41.4152785875993</v>
      </c>
      <c r="G6" s="1" t="s">
        <v>153</v>
      </c>
      <c r="H6" s="3" t="str">
        <f aca="false">HYPERLINK("https://www.google.com/maps/@?api=1&amp;map_action=pano&amp;viewpoint=41.4152785875993,2.13908529805925","Open GSV")</f>
        <v>Open GSV</v>
      </c>
      <c r="I6" s="1" t="n">
        <v>0</v>
      </c>
      <c r="J6" s="1" t="n">
        <v>9</v>
      </c>
      <c r="O6" s="1" t="n">
        <v>0</v>
      </c>
      <c r="P6" s="1" t="n">
        <v>6</v>
      </c>
      <c r="Q6" s="1" t="n">
        <v>0</v>
      </c>
      <c r="R6" s="1" t="n">
        <v>4</v>
      </c>
      <c r="V6" s="1" t="n">
        <f aca="false">IF(AND(I6="",K6=""),IF(M6&lt;&gt;"",M6,""),IF(AND(I6&lt;&gt;"",K6=""),I6,IF(AND(I6="",K6&lt;&gt;""),K6,IF(ABS(J6-1)&lt;=ABS(13-L6),I6,K6))))</f>
        <v>0</v>
      </c>
      <c r="W6" s="1" t="n">
        <f aca="false">IF(AND(O6="",Q6=""),IF(S6&lt;&gt;"",S6,""),IF(AND(O6&lt;&gt;"",Q6=""),O6,IF(AND(O6="",Q6&lt;&gt;""),Q6,IF(ABS(P6-1)&lt;=ABS(13-R6),O6,Q6))))</f>
        <v>0</v>
      </c>
      <c r="X6" s="1" t="str">
        <f aca="false">IF(OR(V6="",W6=""),"",IF(B6="ADD",IF(AND(W6=0,V6=1),"TRUE","FALSE"),IF(B6="REMOVE",IF(AND(W6=1,V6=0),"TRUE","FALSE"),IF(B6="NONCI",IF(AND(W6=0,V6=0),"TRUE","FALSE"),""))))</f>
        <v>TRUE</v>
      </c>
    </row>
    <row r="7" customFormat="false" ht="15" hidden="false" customHeight="false" outlineLevel="0" collapsed="false">
      <c r="A7" s="1" t="n">
        <v>5</v>
      </c>
      <c r="B7" s="1" t="s">
        <v>146</v>
      </c>
      <c r="C7" s="1" t="s">
        <v>154</v>
      </c>
      <c r="D7" s="1" t="s">
        <v>30</v>
      </c>
      <c r="E7" s="1" t="n">
        <v>2.20906860933044</v>
      </c>
      <c r="F7" s="1" t="n">
        <v>41.4229756102428</v>
      </c>
      <c r="G7" s="1" t="s">
        <v>155</v>
      </c>
      <c r="H7" s="3" t="str">
        <f aca="false">HYPERLINK("https://www.google.com/maps/@?api=1&amp;map_action=pano&amp;viewpoint=41.4229756102428,2.20906860933044","Open GSV")</f>
        <v>Open GSV</v>
      </c>
      <c r="I7" s="1" t="n">
        <v>0</v>
      </c>
      <c r="J7" s="1" t="n">
        <v>7</v>
      </c>
      <c r="O7" s="1" t="n">
        <v>0</v>
      </c>
      <c r="P7" s="1" t="n">
        <v>4</v>
      </c>
      <c r="Q7" s="1" t="n">
        <v>0</v>
      </c>
      <c r="R7" s="1" t="n">
        <v>6</v>
      </c>
      <c r="V7" s="1" t="n">
        <f aca="false">IF(AND(I7="",K7=""),IF(M7&lt;&gt;"",M7,""),IF(AND(I7&lt;&gt;"",K7=""),I7,IF(AND(I7="",K7&lt;&gt;""),K7,IF(ABS(J7-1)&lt;=ABS(13-L7),I7,K7))))</f>
        <v>0</v>
      </c>
      <c r="W7" s="1" t="n">
        <f aca="false">IF(AND(O7="",Q7=""),IF(S7&lt;&gt;"",S7,""),IF(AND(O7&lt;&gt;"",Q7=""),O7,IF(AND(O7="",Q7&lt;&gt;""),Q7,IF(ABS(P7-1)&lt;=ABS(13-R7),O7,Q7))))</f>
        <v>0</v>
      </c>
      <c r="X7" s="1" t="str">
        <f aca="false">IF(OR(V7="",W7=""),"",IF(B7="ADD",IF(AND(W7=0,V7=1),"TRUE","FALSE"),IF(B7="REMOVE",IF(AND(W7=1,V7=0),"TRUE","FALSE"),IF(B7="NONCI",IF(AND(W7=0,V7=0),"TRUE","FALSE"),""))))</f>
        <v>TRUE</v>
      </c>
    </row>
    <row r="8" customFormat="false" ht="15" hidden="false" customHeight="false" outlineLevel="0" collapsed="false">
      <c r="A8" s="1" t="n">
        <v>6</v>
      </c>
      <c r="B8" s="1" t="s">
        <v>146</v>
      </c>
      <c r="C8" s="1" t="s">
        <v>39</v>
      </c>
      <c r="D8" s="1" t="s">
        <v>30</v>
      </c>
      <c r="E8" s="1" t="n">
        <v>2.20484681868868</v>
      </c>
      <c r="F8" s="1" t="n">
        <v>41.4258905806347</v>
      </c>
      <c r="G8" s="1" t="s">
        <v>156</v>
      </c>
      <c r="H8" s="3" t="str">
        <f aca="false">HYPERLINK("https://www.google.com/maps/@?api=1&amp;map_action=pano&amp;viewpoint=41.4258905806347,2.20484681868868","Open GSV")</f>
        <v>Open GSV</v>
      </c>
      <c r="I8" s="1" t="n">
        <v>0</v>
      </c>
      <c r="J8" s="1" t="n">
        <v>7</v>
      </c>
      <c r="Q8" s="1" t="n">
        <v>0</v>
      </c>
      <c r="R8" s="1" t="n">
        <v>6</v>
      </c>
      <c r="V8" s="1" t="n">
        <f aca="false">IF(AND(I8="",K8=""),IF(M8&lt;&gt;"",M8,""),IF(AND(I8&lt;&gt;"",K8=""),I8,IF(AND(I8="",K8&lt;&gt;""),K8,IF(ABS(J8-1)&lt;=ABS(13-L8),I8,K8))))</f>
        <v>0</v>
      </c>
      <c r="W8" s="1" t="n">
        <f aca="false">IF(AND(O8="",Q8=""),IF(S8&lt;&gt;"",S8,""),IF(AND(O8&lt;&gt;"",Q8=""),O8,IF(AND(O8="",Q8&lt;&gt;""),Q8,IF(ABS(P8-1)&lt;=ABS(13-R8),O8,Q8))))</f>
        <v>0</v>
      </c>
      <c r="X8" s="1" t="str">
        <f aca="false">IF(OR(V8="",W8=""),"",IF(B8="ADD",IF(AND(W8=0,V8=1),"TRUE","FALSE"),IF(B8="REMOVE",IF(AND(W8=1,V8=0),"TRUE","FALSE"),IF(B8="NONCI",IF(AND(W8=0,V8=0),"TRUE","FALSE"),""))))</f>
        <v>TRUE</v>
      </c>
    </row>
    <row r="9" customFormat="false" ht="15" hidden="false" customHeight="false" outlineLevel="0" collapsed="false">
      <c r="A9" s="1" t="n">
        <v>7</v>
      </c>
      <c r="B9" s="1" t="s">
        <v>146</v>
      </c>
      <c r="C9" s="1" t="s">
        <v>43</v>
      </c>
      <c r="D9" s="1" t="s">
        <v>44</v>
      </c>
      <c r="E9" s="1" t="n">
        <v>2.13605268130468</v>
      </c>
      <c r="F9" s="1" t="n">
        <v>41.3886459941181</v>
      </c>
      <c r="G9" s="1" t="s">
        <v>157</v>
      </c>
      <c r="H9" s="3" t="str">
        <f aca="false">HYPERLINK("https://www.google.com/maps/@?api=1&amp;map_action=pano&amp;viewpoint=41.3886459941181,2.13605268130468","Open GSV")</f>
        <v>Open GSV</v>
      </c>
      <c r="K9" s="1" t="n">
        <v>0</v>
      </c>
      <c r="L9" s="1" t="n">
        <v>6</v>
      </c>
      <c r="O9" s="1" t="n">
        <v>0</v>
      </c>
      <c r="P9" s="1" t="n">
        <v>6</v>
      </c>
      <c r="V9" s="1" t="n">
        <f aca="false">IF(AND(I9="",K9=""),IF(M9&lt;&gt;"",M9,""),IF(AND(I9&lt;&gt;"",K9=""),I9,IF(AND(I9="",K9&lt;&gt;""),K9,IF(ABS(J9-1)&lt;=ABS(13-L9),I9,K9))))</f>
        <v>0</v>
      </c>
      <c r="W9" s="1" t="n">
        <f aca="false">IF(AND(O9="",Q9=""),IF(S9&lt;&gt;"",S9,""),IF(AND(O9&lt;&gt;"",Q9=""),O9,IF(AND(O9="",Q9&lt;&gt;""),Q9,IF(ABS(P9-1)&lt;=ABS(13-R9),O9,Q9))))</f>
        <v>0</v>
      </c>
      <c r="X9" s="1" t="str">
        <f aca="false">IF(OR(V9="",W9=""),"",IF(B9="ADD",IF(AND(W9=0,V9=1),"TRUE","FALSE"),IF(B9="REMOVE",IF(AND(W9=1,V9=0),"TRUE","FALSE"),IF(B9="NONCI",IF(AND(W9=0,V9=0),"TRUE","FALSE"),""))))</f>
        <v>TRUE</v>
      </c>
    </row>
    <row r="10" customFormat="false" ht="15" hidden="false" customHeight="false" outlineLevel="0" collapsed="false">
      <c r="A10" s="1" t="n">
        <v>8</v>
      </c>
      <c r="B10" s="1" t="s">
        <v>146</v>
      </c>
      <c r="C10" s="1" t="s">
        <v>130</v>
      </c>
      <c r="D10" s="1" t="s">
        <v>44</v>
      </c>
      <c r="E10" s="1" t="n">
        <v>2.19973194310656</v>
      </c>
      <c r="F10" s="1" t="n">
        <v>41.4192845883494</v>
      </c>
      <c r="G10" s="1" t="s">
        <v>158</v>
      </c>
      <c r="H10" s="3" t="str">
        <f aca="false">HYPERLINK("https://www.google.com/maps/@?api=1&amp;map_action=pano&amp;viewpoint=41.4192845883494,2.19973194310656","Open GSV")</f>
        <v>Open GSV</v>
      </c>
      <c r="O10" s="1" t="n">
        <v>0</v>
      </c>
      <c r="P10" s="1" t="n">
        <v>4</v>
      </c>
      <c r="U10" s="8" t="s">
        <v>159</v>
      </c>
      <c r="V10" s="1" t="str">
        <f aca="false">IF(AND(I10="",K10=""),IF(M10&lt;&gt;"",M10,""),IF(AND(I10&lt;&gt;"",K10=""),I10,IF(AND(I10="",K10&lt;&gt;""),K10,IF(ABS(J10-1)&lt;=ABS(13-L10),I10,K10))))</f>
        <v/>
      </c>
      <c r="X10" s="1" t="str">
        <f aca="false">IF(OR(V10="",W10=""),"",IF(B10="ADD",IF(AND(W10=0,V10=1),"TRUE","FALSE"),IF(B10="REMOVE",IF(AND(W10=1,V10=0),"TRUE","FALSE"),IF(B10="NONCI",IF(AND(W10=0,V10=0),"TRUE","FALSE"),""))))</f>
        <v/>
      </c>
    </row>
    <row r="11" customFormat="false" ht="15" hidden="false" customHeight="false" outlineLevel="0" collapsed="false">
      <c r="A11" s="1" t="n">
        <v>9</v>
      </c>
      <c r="B11" s="1" t="s">
        <v>146</v>
      </c>
      <c r="C11" s="1" t="s">
        <v>48</v>
      </c>
      <c r="D11" s="1" t="s">
        <v>44</v>
      </c>
      <c r="E11" s="1" t="n">
        <v>2.20099660334155</v>
      </c>
      <c r="F11" s="1" t="n">
        <v>41.418314723108</v>
      </c>
      <c r="G11" s="1" t="s">
        <v>160</v>
      </c>
      <c r="H11" s="3" t="str">
        <f aca="false">HYPERLINK("https://www.google.com/maps/@?api=1&amp;map_action=pano&amp;viewpoint=41.418314723108,2.20099660334155","Open GSV")</f>
        <v>Open GSV</v>
      </c>
      <c r="M11" s="8"/>
      <c r="N11" s="8"/>
      <c r="Q11" s="1" t="n">
        <v>0</v>
      </c>
      <c r="R11" s="1" t="n">
        <v>3</v>
      </c>
      <c r="U11" s="8" t="s">
        <v>159</v>
      </c>
      <c r="V11" s="1" t="str">
        <f aca="false">IF(AND(I11="",K11=""),IF(M11&lt;&gt;"",M11,""),IF(AND(I11&lt;&gt;"",K11=""),I11,IF(AND(I11="",K11&lt;&gt;""),K11,IF(ABS(J11-1)&lt;=ABS(13-L11),I11,K11))))</f>
        <v/>
      </c>
      <c r="X11" s="1" t="str">
        <f aca="false">IF(OR(V11="",W11=""),"",IF(B11="ADD",IF(AND(W11=0,V11=1),"TRUE","FALSE"),IF(B11="REMOVE",IF(AND(W11=1,V11=0),"TRUE","FALSE"),IF(B11="NONCI",IF(AND(W11=0,V11=0),"TRUE","FALSE"),""))))</f>
        <v/>
      </c>
    </row>
    <row r="12" customFormat="false" ht="15" hidden="false" customHeight="false" outlineLevel="0" collapsed="false">
      <c r="A12" s="1" t="n">
        <v>10</v>
      </c>
      <c r="B12" s="1" t="s">
        <v>146</v>
      </c>
      <c r="C12" s="1" t="s">
        <v>50</v>
      </c>
      <c r="D12" s="1" t="s">
        <v>44</v>
      </c>
      <c r="E12" s="1" t="n">
        <v>2.1719534490003</v>
      </c>
      <c r="F12" s="1" t="n">
        <v>41.4172851501864</v>
      </c>
      <c r="G12" s="1" t="s">
        <v>161</v>
      </c>
      <c r="H12" s="3" t="str">
        <f aca="false">HYPERLINK("https://www.google.com/maps/@?api=1&amp;map_action=pano&amp;viewpoint=41.4172851501864,2.1719534490003","Open GSV")</f>
        <v>Open GSV</v>
      </c>
      <c r="M12" s="1" t="n">
        <v>0</v>
      </c>
      <c r="N12" s="1" t="n">
        <v>2</v>
      </c>
      <c r="Q12" s="1" t="n">
        <v>0</v>
      </c>
      <c r="R12" s="1" t="n">
        <v>3</v>
      </c>
      <c r="U12" s="8"/>
      <c r="V12" s="1" t="n">
        <f aca="false">IF(AND(I12="",K12=""),IF(M12&lt;&gt;"",M12,""),IF(AND(I12&lt;&gt;"",K12=""),I12,IF(AND(I12="",K12&lt;&gt;""),K12,IF(ABS(J12-1)&lt;=ABS(13-L12),I12,K12))))</f>
        <v>0</v>
      </c>
      <c r="W12" s="1" t="n">
        <f aca="false">IF(AND(O12="",Q12=""),IF(S12&lt;&gt;"",S12,""),IF(AND(O12&lt;&gt;"",Q12=""),O12,IF(AND(O12="",Q12&lt;&gt;""),Q12,IF(ABS(P12-1)&lt;=ABS(13-R12),O12,Q12))))</f>
        <v>0</v>
      </c>
      <c r="X12" s="1" t="str">
        <f aca="false">IF(OR(V12="",W12=""),"",IF(B12="ADD",IF(AND(W12=0,V12=1),"TRUE","FALSE"),IF(B12="REMOVE",IF(AND(W12=1,V12=0),"TRUE","FALSE"),IF(B12="NONCI",IF(AND(W12=0,V12=0),"TRUE","FALSE"),""))))</f>
        <v>TRUE</v>
      </c>
    </row>
    <row r="13" customFormat="false" ht="15" hidden="false" customHeight="false" outlineLevel="0" collapsed="false">
      <c r="A13" s="1" t="n">
        <v>11</v>
      </c>
      <c r="B13" s="1" t="s">
        <v>146</v>
      </c>
      <c r="C13" s="1" t="s">
        <v>54</v>
      </c>
      <c r="D13" s="1" t="s">
        <v>44</v>
      </c>
      <c r="E13" s="1" t="n">
        <v>2.2085959023376</v>
      </c>
      <c r="F13" s="1" t="n">
        <v>41.4212327396107</v>
      </c>
      <c r="G13" s="1" t="s">
        <v>162</v>
      </c>
      <c r="H13" s="3" t="str">
        <f aca="false">HYPERLINK("https://www.google.com/maps/@?api=1&amp;map_action=pano&amp;viewpoint=41.4212327396107,2.2085959023376","Open GSV")</f>
        <v>Open GSV</v>
      </c>
      <c r="I13" s="1" t="n">
        <v>0</v>
      </c>
      <c r="J13" s="1" t="n">
        <v>7</v>
      </c>
      <c r="M13" s="8"/>
      <c r="N13" s="8"/>
      <c r="S13" s="1" t="n">
        <v>0</v>
      </c>
      <c r="T13" s="1" t="n">
        <v>2</v>
      </c>
      <c r="U13" s="8"/>
      <c r="V13" s="1" t="n">
        <f aca="false">IF(AND(I13="",K13=""),IF(M13&lt;&gt;"",M13,""),IF(AND(I13&lt;&gt;"",K13=""),I13,IF(AND(I13="",K13&lt;&gt;""),K13,IF(ABS(J13-1)&lt;=ABS(13-L13),I13,K13))))</f>
        <v>0</v>
      </c>
      <c r="W13" s="1" t="n">
        <f aca="false">IF(AND(O13="",Q13=""),IF(S13&lt;&gt;"",S13,""),IF(AND(O13&lt;&gt;"",Q13=""),O13,IF(AND(O13="",Q13&lt;&gt;""),Q13,IF(ABS(P13-1)&lt;=ABS(13-R13),O13,Q13))))</f>
        <v>0</v>
      </c>
      <c r="X13" s="1" t="str">
        <f aca="false">IF(OR(V13="",W13=""),"",IF(B13="ADD",IF(AND(W13=0,V13=1),"TRUE","FALSE"),IF(B13="REMOVE",IF(AND(W13=1,V13=0),"TRUE","FALSE"),IF(B13="NONCI",IF(AND(W13=0,V13=0),"TRUE","FALSE"),""))))</f>
        <v>TRUE</v>
      </c>
    </row>
    <row r="14" customFormat="false" ht="15" hidden="false" customHeight="false" outlineLevel="0" collapsed="false">
      <c r="A14" s="1" t="n">
        <v>12</v>
      </c>
      <c r="B14" s="1" t="s">
        <v>146</v>
      </c>
      <c r="C14" s="1" t="s">
        <v>57</v>
      </c>
      <c r="D14" s="1" t="s">
        <v>44</v>
      </c>
      <c r="E14" s="1" t="n">
        <v>2.16049369124227</v>
      </c>
      <c r="F14" s="1" t="n">
        <v>41.4136824558834</v>
      </c>
      <c r="G14" s="1" t="s">
        <v>163</v>
      </c>
      <c r="H14" s="3" t="str">
        <f aca="false">HYPERLINK("https://www.google.com/maps/@?api=1&amp;map_action=pano&amp;viewpoint=41.4136824558834,2.16049369124227","Open GSV")</f>
        <v>Open GSV</v>
      </c>
      <c r="I14" s="1" t="n">
        <v>0</v>
      </c>
      <c r="J14" s="1" t="n">
        <v>9</v>
      </c>
      <c r="K14" s="1" t="n">
        <v>0</v>
      </c>
      <c r="L14" s="1" t="n">
        <v>3</v>
      </c>
      <c r="O14" s="1" t="n">
        <v>0</v>
      </c>
      <c r="P14" s="1" t="n">
        <v>4</v>
      </c>
      <c r="Q14" s="1" t="n">
        <v>0</v>
      </c>
      <c r="R14" s="1" t="n">
        <v>4</v>
      </c>
      <c r="V14" s="1" t="n">
        <f aca="false">IF(AND(I14="",K14=""),IF(M14&lt;&gt;"",M14,""),IF(AND(I14&lt;&gt;"",K14=""),I14,IF(AND(I14="",K14&lt;&gt;""),K14,IF(ABS(J14-1)&lt;=ABS(13-L14),I14,K14))))</f>
        <v>0</v>
      </c>
      <c r="W14" s="1" t="n">
        <f aca="false">IF(AND(O14="",Q14=""),IF(S14&lt;&gt;"",S14,""),IF(AND(O14&lt;&gt;"",Q14=""),O14,IF(AND(O14="",Q14&lt;&gt;""),Q14,IF(ABS(P14-1)&lt;=ABS(13-R14),O14,Q14))))</f>
        <v>0</v>
      </c>
      <c r="X14" s="1" t="str">
        <f aca="false">IF(OR(V14="",W14=""),"",IF(B14="ADD",IF(AND(W14=0,V14=1),"TRUE","FALSE"),IF(B14="REMOVE",IF(AND(W14=1,V14=0),"TRUE","FALSE"),IF(B14="NONCI",IF(AND(W14=0,V14=0),"TRUE","FALSE"),""))))</f>
        <v>TRUE</v>
      </c>
    </row>
    <row r="15" customFormat="false" ht="15" hidden="false" customHeight="false" outlineLevel="0" collapsed="false">
      <c r="A15" s="1" t="n">
        <v>13</v>
      </c>
      <c r="B15" s="1" t="s">
        <v>146</v>
      </c>
      <c r="C15" s="1" t="s">
        <v>61</v>
      </c>
      <c r="D15" s="1" t="s">
        <v>62</v>
      </c>
      <c r="E15" s="1" t="n">
        <v>2.19662757442697</v>
      </c>
      <c r="F15" s="1" t="n">
        <v>41.3968741340237</v>
      </c>
      <c r="G15" s="1" t="s">
        <v>164</v>
      </c>
      <c r="H15" s="3" t="str">
        <f aca="false">HYPERLINK("https://www.google.com/maps/@?api=1&amp;map_action=pano&amp;viewpoint=41.3968741340237,2.19662757442697","Open GSV")</f>
        <v>Open GSV</v>
      </c>
      <c r="I15" s="1" t="n">
        <v>0</v>
      </c>
      <c r="J15" s="1" t="n">
        <v>8</v>
      </c>
      <c r="O15" s="1" t="n">
        <v>0</v>
      </c>
      <c r="P15" s="1" t="n">
        <v>4</v>
      </c>
      <c r="Q15" s="1" t="n">
        <v>0</v>
      </c>
      <c r="R15" s="1" t="n">
        <v>8</v>
      </c>
      <c r="V15" s="1" t="n">
        <f aca="false">IF(AND(I15="",K15=""),IF(M15&lt;&gt;"",M15,""),IF(AND(I15&lt;&gt;"",K15=""),I15,IF(AND(I15="",K15&lt;&gt;""),K15,IF(ABS(J15-1)&lt;=ABS(13-L15),I15,K15))))</f>
        <v>0</v>
      </c>
      <c r="W15" s="1" t="n">
        <f aca="false">IF(AND(O15="",Q15=""),IF(S15&lt;&gt;"",S15,""),IF(AND(O15&lt;&gt;"",Q15=""),O15,IF(AND(O15="",Q15&lt;&gt;""),Q15,IF(ABS(P15-1)&lt;=ABS(13-R15),O15,Q15))))</f>
        <v>0</v>
      </c>
      <c r="X15" s="1" t="str">
        <f aca="false">IF(OR(V15="",W15=""),"",IF(B15="ADD",IF(AND(W15=0,V15=1),"TRUE","FALSE"),IF(B15="REMOVE",IF(AND(W15=1,V15=0),"TRUE","FALSE"),IF(B15="NONCI",IF(AND(W15=0,V15=0),"TRUE","FALSE"),""))))</f>
        <v>TRUE</v>
      </c>
    </row>
    <row r="16" customFormat="false" ht="15" hidden="false" customHeight="false" outlineLevel="0" collapsed="false">
      <c r="A16" s="1" t="n">
        <v>14</v>
      </c>
      <c r="B16" s="1" t="s">
        <v>146</v>
      </c>
      <c r="C16" s="1" t="s">
        <v>165</v>
      </c>
      <c r="D16" s="1" t="s">
        <v>62</v>
      </c>
      <c r="E16" s="1" t="n">
        <v>2.17675959869425</v>
      </c>
      <c r="F16" s="1" t="n">
        <v>41.3815198505021</v>
      </c>
      <c r="G16" s="1" t="s">
        <v>166</v>
      </c>
      <c r="H16" s="3" t="str">
        <f aca="false">HYPERLINK("https://www.google.com/maps/@?api=1&amp;map_action=pano&amp;viewpoint=41.3815198505021,2.17675959869425","Open GSV")</f>
        <v>Open GSV</v>
      </c>
      <c r="K16" s="1" t="n">
        <v>0</v>
      </c>
      <c r="L16" s="1" t="n">
        <v>3</v>
      </c>
      <c r="O16" s="1" t="n">
        <v>0</v>
      </c>
      <c r="P16" s="1" t="n">
        <v>6</v>
      </c>
      <c r="Q16" s="1" t="n">
        <v>0</v>
      </c>
      <c r="R16" s="1" t="n">
        <v>4</v>
      </c>
      <c r="V16" s="1" t="n">
        <f aca="false">IF(AND(I16="",K16=""),IF(M16&lt;&gt;"",M16,""),IF(AND(I16&lt;&gt;"",K16=""),I16,IF(AND(I16="",K16&lt;&gt;""),K16,IF(ABS(J16-1)&lt;=ABS(13-L16),I16,K16))))</f>
        <v>0</v>
      </c>
      <c r="W16" s="1" t="n">
        <f aca="false">IF(AND(O16="",Q16=""),IF(S16&lt;&gt;"",S16,""),IF(AND(O16&lt;&gt;"",Q16=""),O16,IF(AND(O16="",Q16&lt;&gt;""),Q16,IF(ABS(P16-1)&lt;=ABS(13-R16),O16,Q16))))</f>
        <v>0</v>
      </c>
      <c r="X16" s="1" t="str">
        <f aca="false">IF(OR(V16="",W16=""),"",IF(B16="ADD",IF(AND(W16=0,V16=1),"TRUE","FALSE"),IF(B16="REMOVE",IF(AND(W16=1,V16=0),"TRUE","FALSE"),IF(B16="NONCI",IF(AND(W16=0,V16=0),"TRUE","FALSE"),""))))</f>
        <v>TRUE</v>
      </c>
    </row>
    <row r="17" customFormat="false" ht="15" hidden="false" customHeight="false" outlineLevel="0" collapsed="false">
      <c r="A17" s="1" t="n">
        <v>15</v>
      </c>
      <c r="B17" s="1" t="s">
        <v>146</v>
      </c>
      <c r="C17" s="1" t="s">
        <v>167</v>
      </c>
      <c r="D17" s="1" t="s">
        <v>62</v>
      </c>
      <c r="E17" s="1" t="n">
        <v>2.19893423224654</v>
      </c>
      <c r="F17" s="1" t="n">
        <v>41.3985654193142</v>
      </c>
      <c r="G17" s="1" t="s">
        <v>168</v>
      </c>
      <c r="H17" s="3" t="str">
        <f aca="false">HYPERLINK("https://www.google.com/maps/@?api=1&amp;map_action=pano&amp;viewpoint=41.3985654193142,2.19893423224654","Open GSV")</f>
        <v>Open GSV</v>
      </c>
      <c r="I17" s="1" t="n">
        <v>0</v>
      </c>
      <c r="J17" s="1" t="n">
        <v>7</v>
      </c>
      <c r="K17" s="1" t="n">
        <v>0</v>
      </c>
      <c r="L17" s="1" t="n">
        <v>3</v>
      </c>
      <c r="O17" s="1" t="n">
        <v>0</v>
      </c>
      <c r="P17" s="1" t="n">
        <v>4</v>
      </c>
      <c r="Q17" s="1" t="n">
        <v>0</v>
      </c>
      <c r="R17" s="1" t="n">
        <v>8</v>
      </c>
      <c r="V17" s="1" t="n">
        <f aca="false">IF(AND(I17="",K17=""),IF(M17&lt;&gt;"",M17,""),IF(AND(I17&lt;&gt;"",K17=""),I17,IF(AND(I17="",K17&lt;&gt;""),K17,IF(ABS(J17-1)&lt;=ABS(13-L17),I17,K17))))</f>
        <v>0</v>
      </c>
      <c r="W17" s="1" t="n">
        <f aca="false">IF(AND(O17="",Q17=""),IF(S17&lt;&gt;"",S17,""),IF(AND(O17&lt;&gt;"",Q17=""),O17,IF(AND(O17="",Q17&lt;&gt;""),Q17,IF(ABS(P17-1)&lt;=ABS(13-R17),O17,Q17))))</f>
        <v>0</v>
      </c>
      <c r="X17" s="1" t="str">
        <f aca="false">IF(OR(V17="",W17=""),"",IF(B17="ADD",IF(AND(W17=0,V17=1),"TRUE","FALSE"),IF(B17="REMOVE",IF(AND(W17=1,V17=0),"TRUE","FALSE"),IF(B17="NONCI",IF(AND(W17=0,V17=0),"TRUE","FALSE"),""))))</f>
        <v>TRUE</v>
      </c>
    </row>
    <row r="18" customFormat="false" ht="15" hidden="false" customHeight="false" outlineLevel="0" collapsed="false">
      <c r="A18" s="1" t="n">
        <v>16</v>
      </c>
      <c r="B18" s="1" t="s">
        <v>146</v>
      </c>
      <c r="C18" s="1" t="s">
        <v>169</v>
      </c>
      <c r="D18" s="1" t="s">
        <v>62</v>
      </c>
      <c r="E18" s="1" t="n">
        <v>2.20468220744704</v>
      </c>
      <c r="F18" s="1" t="n">
        <v>41.4076066879062</v>
      </c>
      <c r="G18" s="1" t="s">
        <v>170</v>
      </c>
      <c r="H18" s="3" t="str">
        <f aca="false">HYPERLINK("https://www.google.com/maps/@?api=1&amp;map_action=pano&amp;viewpoint=41.4076066879062,2.20468220744704","Open GSV")</f>
        <v>Open GSV</v>
      </c>
      <c r="I18" s="1" t="n">
        <v>1</v>
      </c>
      <c r="J18" s="1" t="n">
        <v>7</v>
      </c>
      <c r="K18" s="1" t="n">
        <v>1</v>
      </c>
      <c r="L18" s="1" t="n">
        <v>9</v>
      </c>
      <c r="O18" s="1" t="n">
        <v>1</v>
      </c>
      <c r="P18" s="1" t="n">
        <v>4</v>
      </c>
      <c r="Q18" s="1" t="n">
        <v>1</v>
      </c>
      <c r="R18" s="1" t="n">
        <v>3</v>
      </c>
      <c r="V18" s="1" t="n">
        <f aca="false">IF(AND(I18="",K18=""),IF(M18&lt;&gt;"",M18,""),IF(AND(I18&lt;&gt;"",K18=""),I18,IF(AND(I18="",K18&lt;&gt;""),K18,IF(ABS(J18-1)&lt;=ABS(13-L18),I18,K18))))</f>
        <v>1</v>
      </c>
      <c r="W18" s="1" t="n">
        <f aca="false">IF(AND(O18="",Q18=""),IF(S18&lt;&gt;"",S18,""),IF(AND(O18&lt;&gt;"",Q18=""),O18,IF(AND(O18="",Q18&lt;&gt;""),Q18,IF(ABS(P18-1)&lt;=ABS(13-R18),O18,Q18))))</f>
        <v>1</v>
      </c>
      <c r="X18" s="1" t="str">
        <f aca="false">IF(OR(V18="",W18=""),"",IF(B18="ADD",IF(AND(W18=0,V18=1),"TRUE","FALSE"),IF(B18="REMOVE",IF(AND(W18=1,V18=0),"TRUE","FALSE"),IF(B18="NONCI",IF(AND(W18=0,V18=0),"TRUE","FALSE"),""))))</f>
        <v>FALSE</v>
      </c>
    </row>
    <row r="19" customFormat="false" ht="15" hidden="false" customHeight="false" outlineLevel="0" collapsed="false">
      <c r="A19" s="1" t="n">
        <v>17</v>
      </c>
      <c r="B19" s="1" t="s">
        <v>146</v>
      </c>
      <c r="C19" s="1" t="s">
        <v>65</v>
      </c>
      <c r="D19" s="1" t="s">
        <v>62</v>
      </c>
      <c r="E19" s="1" t="n">
        <v>2.14621758311762</v>
      </c>
      <c r="F19" s="1" t="n">
        <v>41.3758934897395</v>
      </c>
      <c r="G19" s="1" t="s">
        <v>171</v>
      </c>
      <c r="H19" s="3" t="str">
        <f aca="false">HYPERLINK("https://www.google.com/maps/@?api=1&amp;map_action=pano&amp;viewpoint=41.3758934897395,2.14621758311762","Open GSV")</f>
        <v>Open GSV</v>
      </c>
      <c r="K19" s="1" t="n">
        <v>0</v>
      </c>
      <c r="L19" s="1" t="n">
        <v>7</v>
      </c>
      <c r="M19" s="8"/>
      <c r="N19" s="8"/>
      <c r="O19" s="1" t="n">
        <v>0</v>
      </c>
      <c r="P19" s="1" t="n">
        <v>6</v>
      </c>
      <c r="Q19" s="1" t="n">
        <v>0</v>
      </c>
      <c r="R19" s="1" t="n">
        <v>4</v>
      </c>
      <c r="U19" s="8"/>
      <c r="V19" s="1" t="n">
        <f aca="false">IF(AND(I19="",K19=""),IF(M19&lt;&gt;"",M19,""),IF(AND(I19&lt;&gt;"",K19=""),I19,IF(AND(I19="",K19&lt;&gt;""),K19,IF(ABS(J19-1)&lt;=ABS(13-L19),I19,K19))))</f>
        <v>0</v>
      </c>
      <c r="W19" s="1" t="n">
        <f aca="false">IF(AND(O19="",Q19=""),IF(S19&lt;&gt;"",S19,""),IF(AND(O19&lt;&gt;"",Q19=""),O19,IF(AND(O19="",Q19&lt;&gt;""),Q19,IF(ABS(P19-1)&lt;=ABS(13-R19),O19,Q19))))</f>
        <v>0</v>
      </c>
      <c r="X19" s="1" t="str">
        <f aca="false">IF(OR(V19="",W19=""),"",IF(B19="ADD",IF(AND(W19=0,V19=1),"TRUE","FALSE"),IF(B19="REMOVE",IF(AND(W19=1,V19=0),"TRUE","FALSE"),IF(B19="NONCI",IF(AND(W19=0,V19=0),"TRUE","FALSE"),""))))</f>
        <v>TRUE</v>
      </c>
    </row>
    <row r="20" customFormat="false" ht="15" hidden="false" customHeight="false" outlineLevel="0" collapsed="false">
      <c r="A20" s="1" t="n">
        <v>18</v>
      </c>
      <c r="B20" s="1" t="s">
        <v>146</v>
      </c>
      <c r="C20" s="1" t="s">
        <v>172</v>
      </c>
      <c r="D20" s="1" t="s">
        <v>72</v>
      </c>
      <c r="E20" s="1" t="n">
        <v>2.1217889459586</v>
      </c>
      <c r="F20" s="1" t="n">
        <v>41.396230594351</v>
      </c>
      <c r="G20" s="1" t="s">
        <v>173</v>
      </c>
      <c r="H20" s="3" t="str">
        <f aca="false">HYPERLINK("https://www.google.com/maps/@?api=1&amp;map_action=pano&amp;viewpoint=41.396230594351,2.1217889459586","Open GSV")</f>
        <v>Open GSV</v>
      </c>
      <c r="M20" s="1" t="n">
        <v>0</v>
      </c>
      <c r="N20" s="1" t="n">
        <v>1</v>
      </c>
      <c r="O20" s="1" t="n">
        <v>0</v>
      </c>
      <c r="P20" s="1" t="n">
        <v>6</v>
      </c>
      <c r="Q20" s="1" t="n">
        <v>0</v>
      </c>
      <c r="R20" s="1" t="n">
        <v>4</v>
      </c>
      <c r="U20" s="8"/>
      <c r="V20" s="1" t="n">
        <f aca="false">IF(AND(I20="",K20=""),IF(M20&lt;&gt;"",M20,""),IF(AND(I20&lt;&gt;"",K20=""),I20,IF(AND(I20="",K20&lt;&gt;""),K20,IF(ABS(J20-1)&lt;=ABS(13-L20),I20,K20))))</f>
        <v>0</v>
      </c>
      <c r="W20" s="1" t="n">
        <f aca="false">IF(AND(O20="",Q20=""),IF(S20&lt;&gt;"",S20,""),IF(AND(O20&lt;&gt;"",Q20=""),O20,IF(AND(O20="",Q20&lt;&gt;""),Q20,IF(ABS(P20-1)&lt;=ABS(13-R20),O20,Q20))))</f>
        <v>0</v>
      </c>
      <c r="X20" s="1" t="str">
        <f aca="false">IF(OR(V20="",W20=""),"",IF(B20="ADD",IF(AND(W20=0,V20=1),"TRUE","FALSE"),IF(B20="REMOVE",IF(AND(W20=1,V20=0),"TRUE","FALSE"),IF(B20="NONCI",IF(AND(W20=0,V20=0),"TRUE","FALSE"),""))))</f>
        <v>TRUE</v>
      </c>
    </row>
    <row r="21" customFormat="false" ht="15" hidden="false" customHeight="false" outlineLevel="0" collapsed="false">
      <c r="A21" s="1" t="n">
        <v>19</v>
      </c>
      <c r="B21" s="1" t="s">
        <v>146</v>
      </c>
      <c r="C21" s="1" t="s">
        <v>133</v>
      </c>
      <c r="D21" s="1" t="s">
        <v>72</v>
      </c>
      <c r="E21" s="1" t="n">
        <v>2.17908894150395</v>
      </c>
      <c r="F21" s="1" t="n">
        <v>41.4313457041624</v>
      </c>
      <c r="G21" s="1" t="s">
        <v>174</v>
      </c>
      <c r="H21" s="3" t="str">
        <f aca="false">HYPERLINK("https://www.google.com/maps/@?api=1&amp;map_action=pano&amp;viewpoint=41.4313457041624,2.17908894150395","Open GSV")</f>
        <v>Open GSV</v>
      </c>
      <c r="I21" s="1" t="n">
        <v>0</v>
      </c>
      <c r="J21" s="1" t="n">
        <v>7</v>
      </c>
      <c r="K21" s="1" t="n">
        <v>0</v>
      </c>
      <c r="L21" s="1" t="n">
        <v>3</v>
      </c>
      <c r="M21" s="8"/>
      <c r="N21" s="8"/>
      <c r="O21" s="1" t="n">
        <v>0</v>
      </c>
      <c r="P21" s="1" t="n">
        <v>4</v>
      </c>
      <c r="Q21" s="1" t="n">
        <v>0</v>
      </c>
      <c r="R21" s="1" t="n">
        <v>6</v>
      </c>
      <c r="U21" s="8"/>
      <c r="V21" s="1" t="n">
        <f aca="false">IF(AND(I21="",K21=""),IF(M21&lt;&gt;"",M21,""),IF(AND(I21&lt;&gt;"",K21=""),I21,IF(AND(I21="",K21&lt;&gt;""),K21,IF(ABS(J21-1)&lt;=ABS(13-L21),I21,K21))))</f>
        <v>0</v>
      </c>
      <c r="W21" s="1" t="n">
        <f aca="false">IF(AND(O21="",Q21=""),IF(S21&lt;&gt;"",S21,""),IF(AND(O21&lt;&gt;"",Q21=""),O21,IF(AND(O21="",Q21&lt;&gt;""),Q21,IF(ABS(P21-1)&lt;=ABS(13-R21),O21,Q21))))</f>
        <v>0</v>
      </c>
      <c r="X21" s="1" t="str">
        <f aca="false">IF(OR(V21="",W21=""),"",IF(B21="ADD",IF(AND(W21=0,V21=1),"TRUE","FALSE"),IF(B21="REMOVE",IF(AND(W21=1,V21=0),"TRUE","FALSE"),IF(B21="NONCI",IF(AND(W21=0,V21=0),"TRUE","FALSE"),""))))</f>
        <v>TRUE</v>
      </c>
    </row>
    <row r="22" customFormat="false" ht="15" hidden="false" customHeight="false" outlineLevel="0" collapsed="false">
      <c r="A22" s="1" t="n">
        <v>20</v>
      </c>
      <c r="B22" s="1" t="s">
        <v>146</v>
      </c>
      <c r="C22" s="1" t="s">
        <v>175</v>
      </c>
      <c r="D22" s="1" t="s">
        <v>72</v>
      </c>
      <c r="E22" s="1" t="n">
        <v>2.1257689815069</v>
      </c>
      <c r="F22" s="1" t="n">
        <v>41.3929009079565</v>
      </c>
      <c r="G22" s="1" t="s">
        <v>176</v>
      </c>
      <c r="H22" s="3" t="str">
        <f aca="false">HYPERLINK("https://www.google.com/maps/@?api=1&amp;map_action=pano&amp;viewpoint=41.3929009079565,2.1257689815069","Open GSV")</f>
        <v>Open GSV</v>
      </c>
      <c r="M22" s="1" t="n">
        <v>0</v>
      </c>
      <c r="N22" s="1" t="n">
        <v>1</v>
      </c>
      <c r="O22" s="1" t="n">
        <v>0</v>
      </c>
      <c r="P22" s="1" t="n">
        <v>6</v>
      </c>
      <c r="Q22" s="1" t="n">
        <v>0</v>
      </c>
      <c r="R22" s="1" t="n">
        <v>4</v>
      </c>
      <c r="V22" s="1" t="n">
        <f aca="false">IF(AND(I22="",K22=""),IF(M22&lt;&gt;"",M22,""),IF(AND(I22&lt;&gt;"",K22=""),I22,IF(AND(I22="",K22&lt;&gt;""),K22,IF(ABS(J22-1)&lt;=ABS(13-L22),I22,K22))))</f>
        <v>0</v>
      </c>
      <c r="W22" s="1" t="n">
        <f aca="false">IF(AND(O22="",Q22=""),IF(S22&lt;&gt;"",S22,""),IF(AND(O22&lt;&gt;"",Q22=""),O22,IF(AND(O22="",Q22&lt;&gt;""),Q22,IF(ABS(P22-1)&lt;=ABS(13-R22),O22,Q22))))</f>
        <v>0</v>
      </c>
      <c r="X22" s="1" t="str">
        <f aca="false">IF(OR(V22="",W22=""),"",IF(B22="ADD",IF(AND(W22=0,V22=1),"TRUE","FALSE"),IF(B22="REMOVE",IF(AND(W22=1,V22=0),"TRUE","FALSE"),IF(B22="NONCI",IF(AND(W22=0,V22=0),"TRUE","FALSE"),""))))</f>
        <v>TRUE</v>
      </c>
    </row>
    <row r="23" customFormat="false" ht="15" hidden="false" customHeight="false" outlineLevel="0" collapsed="false">
      <c r="A23" s="1" t="n">
        <v>21</v>
      </c>
      <c r="B23" s="1" t="s">
        <v>146</v>
      </c>
      <c r="C23" s="1" t="s">
        <v>177</v>
      </c>
      <c r="D23" s="1" t="s">
        <v>72</v>
      </c>
      <c r="E23" s="1" t="n">
        <v>2.18422140795697</v>
      </c>
      <c r="F23" s="1" t="n">
        <v>41.4348652360132</v>
      </c>
      <c r="G23" s="1" t="s">
        <v>178</v>
      </c>
      <c r="H23" s="3" t="str">
        <f aca="false">HYPERLINK("https://www.google.com/maps/@?api=1&amp;map_action=pano&amp;viewpoint=41.4348652360132,2.18422140795697","Open GSV")</f>
        <v>Open GSV</v>
      </c>
      <c r="I23" s="1" t="n">
        <v>0</v>
      </c>
      <c r="J23" s="1" t="n">
        <v>7</v>
      </c>
      <c r="K23" s="1" t="n">
        <v>0</v>
      </c>
      <c r="L23" s="1" t="n">
        <v>3</v>
      </c>
      <c r="O23" s="1" t="n">
        <v>0</v>
      </c>
      <c r="P23" s="1" t="n">
        <v>4</v>
      </c>
      <c r="Q23" s="1" t="n">
        <v>0</v>
      </c>
      <c r="R23" s="1" t="n">
        <v>7</v>
      </c>
      <c r="V23" s="1" t="n">
        <f aca="false">IF(AND(I23="",K23=""),IF(M23&lt;&gt;"",M23,""),IF(AND(I23&lt;&gt;"",K23=""),I23,IF(AND(I23="",K23&lt;&gt;""),K23,IF(ABS(J23-1)&lt;=ABS(13-L23),I23,K23))))</f>
        <v>0</v>
      </c>
      <c r="W23" s="1" t="n">
        <f aca="false">IF(AND(O23="",Q23=""),IF(S23&lt;&gt;"",S23,""),IF(AND(O23&lt;&gt;"",Q23=""),O23,IF(AND(O23="",Q23&lt;&gt;""),Q23,IF(ABS(P23-1)&lt;=ABS(13-R23),O23,Q23))))</f>
        <v>0</v>
      </c>
      <c r="X23" s="1" t="str">
        <f aca="false">IF(OR(V23="",W23=""),"",IF(B23="ADD",IF(AND(W23=0,V23=1),"TRUE","FALSE"),IF(B23="REMOVE",IF(AND(W23=1,V23=0),"TRUE","FALSE"),IF(B23="NONCI",IF(AND(W23=0,V23=0),"TRUE","FALSE"),""))))</f>
        <v>TRUE</v>
      </c>
    </row>
    <row r="24" customFormat="false" ht="15" hidden="false" customHeight="false" outlineLevel="0" collapsed="false">
      <c r="A24" s="1" t="n">
        <v>22</v>
      </c>
      <c r="B24" s="1" t="s">
        <v>146</v>
      </c>
      <c r="C24" s="1" t="s">
        <v>71</v>
      </c>
      <c r="D24" s="1" t="s">
        <v>72</v>
      </c>
      <c r="E24" s="1" t="n">
        <v>2.17554070368043</v>
      </c>
      <c r="F24" s="1" t="n">
        <v>41.4280696452023</v>
      </c>
      <c r="G24" s="1" t="s">
        <v>179</v>
      </c>
      <c r="H24" s="3" t="str">
        <f aca="false">HYPERLINK("https://www.google.com/maps/@?api=1&amp;map_action=pano&amp;viewpoint=41.4280696452023,2.17554070368043","Open GSV")</f>
        <v>Open GSV</v>
      </c>
      <c r="I24" s="1" t="n">
        <v>0</v>
      </c>
      <c r="J24" s="1" t="n">
        <v>8</v>
      </c>
      <c r="K24" s="1" t="n">
        <v>0</v>
      </c>
      <c r="L24" s="1" t="n">
        <v>3</v>
      </c>
      <c r="O24" s="1" t="n">
        <v>0</v>
      </c>
      <c r="P24" s="1" t="n">
        <v>4</v>
      </c>
      <c r="Q24" s="1" t="n">
        <v>0</v>
      </c>
      <c r="R24" s="1" t="n">
        <v>6</v>
      </c>
      <c r="V24" s="1" t="n">
        <f aca="false">IF(AND(I24="",K24=""),IF(M24&lt;&gt;"",M24,""),IF(AND(I24&lt;&gt;"",K24=""),I24,IF(AND(I24="",K24&lt;&gt;""),K24,IF(ABS(J24-1)&lt;=ABS(13-L24),I24,K24))))</f>
        <v>0</v>
      </c>
      <c r="W24" s="1" t="n">
        <f aca="false">IF(AND(O24="",Q24=""),IF(S24&lt;&gt;"",S24,""),IF(AND(O24&lt;&gt;"",Q24=""),O24,IF(AND(O24="",Q24&lt;&gt;""),Q24,IF(ABS(P24-1)&lt;=ABS(13-R24),O24,Q24))))</f>
        <v>0</v>
      </c>
      <c r="X24" s="1" t="str">
        <f aca="false">IF(OR(V24="",W24=""),"",IF(B24="ADD",IF(AND(W24=0,V24=1),"TRUE","FALSE"),IF(B24="REMOVE",IF(AND(W24=1,V24=0),"TRUE","FALSE"),IF(B24="NONCI",IF(AND(W24=0,V24=0),"TRUE","FALSE"),""))))</f>
        <v>TRUE</v>
      </c>
    </row>
    <row r="25" customFormat="false" ht="15" hidden="false" customHeight="false" outlineLevel="0" collapsed="false">
      <c r="A25" s="1" t="n">
        <v>23</v>
      </c>
      <c r="B25" s="1" t="s">
        <v>146</v>
      </c>
      <c r="C25" s="1" t="s">
        <v>74</v>
      </c>
      <c r="D25" s="1" t="s">
        <v>72</v>
      </c>
      <c r="E25" s="1" t="n">
        <v>2.18916874931851</v>
      </c>
      <c r="F25" s="1" t="n">
        <v>41.4407613525245</v>
      </c>
      <c r="G25" s="1" t="s">
        <v>180</v>
      </c>
      <c r="H25" s="3" t="str">
        <f aca="false">HYPERLINK("https://www.google.com/maps/@?api=1&amp;map_action=pano&amp;viewpoint=41.4407613525245,2.18916874931851","Open GSV")</f>
        <v>Open GSV</v>
      </c>
      <c r="I25" s="1" t="n">
        <v>0</v>
      </c>
      <c r="J25" s="1" t="n">
        <v>7</v>
      </c>
      <c r="Q25" s="1" t="n">
        <v>0</v>
      </c>
      <c r="R25" s="1" t="n">
        <v>7</v>
      </c>
      <c r="U25" s="8" t="s">
        <v>181</v>
      </c>
      <c r="V25" s="1" t="n">
        <f aca="false">IF(AND(I25="",K25=""),IF(M25&lt;&gt;"",M25,""),IF(AND(I25&lt;&gt;"",K25=""),I25,IF(AND(I25="",K25&lt;&gt;""),K25,IF(ABS(J25-1)&lt;=ABS(13-L25),I25,K25))))</f>
        <v>0</v>
      </c>
      <c r="W25" s="1" t="n">
        <f aca="false">IF(AND(O25="",Q25=""),IF(S25&lt;&gt;"",S25,""),IF(AND(O25&lt;&gt;"",Q25=""),O25,IF(AND(O25="",Q25&lt;&gt;""),Q25,IF(ABS(P25-1)&lt;=ABS(13-R25),O25,Q25))))</f>
        <v>0</v>
      </c>
      <c r="X25" s="1" t="str">
        <f aca="false">IF(OR(V25="",W25=""),"",IF(B25="ADD",IF(AND(W25=0,V25=1),"TRUE","FALSE"),IF(B25="REMOVE",IF(AND(W25=1,V25=0),"TRUE","FALSE"),IF(B25="NONCI",IF(AND(W25=0,V25=0),"TRUE","FALSE"),""))))</f>
        <v>TRUE</v>
      </c>
    </row>
    <row r="26" customFormat="false" ht="15" hidden="false" customHeight="false" outlineLevel="0" collapsed="false">
      <c r="A26" s="1" t="n">
        <v>24</v>
      </c>
      <c r="B26" s="1" t="s">
        <v>146</v>
      </c>
      <c r="C26" s="1" t="s">
        <v>76</v>
      </c>
      <c r="D26" s="1" t="s">
        <v>77</v>
      </c>
      <c r="E26" s="1" t="n">
        <v>2.15235610314992</v>
      </c>
      <c r="F26" s="1" t="n">
        <v>41.4011854588709</v>
      </c>
      <c r="G26" s="1" t="s">
        <v>182</v>
      </c>
      <c r="H26" s="3" t="str">
        <f aca="false">HYPERLINK("https://www.google.com/maps/@?api=1&amp;map_action=pano&amp;viewpoint=41.4011854588709,2.15235610314992","Open GSV")</f>
        <v>Open GSV</v>
      </c>
      <c r="K26" s="1" t="n">
        <v>0</v>
      </c>
      <c r="L26" s="1" t="n">
        <v>3</v>
      </c>
      <c r="O26" s="1" t="n">
        <v>0</v>
      </c>
      <c r="P26" s="1" t="n">
        <v>6</v>
      </c>
      <c r="V26" s="1" t="n">
        <f aca="false">IF(AND(I26="",K26=""),IF(M26&lt;&gt;"",M26,""),IF(AND(I26&lt;&gt;"",K26=""),I26,IF(AND(I26="",K26&lt;&gt;""),K26,IF(ABS(J26-1)&lt;=ABS(13-L26),I26,K26))))</f>
        <v>0</v>
      </c>
      <c r="W26" s="1" t="n">
        <f aca="false">IF(AND(O26="",Q26=""),IF(S26&lt;&gt;"",S26,""),IF(AND(O26&lt;&gt;"",Q26=""),O26,IF(AND(O26="",Q26&lt;&gt;""),Q26,IF(ABS(P26-1)&lt;=ABS(13-R26),O26,Q26))))</f>
        <v>0</v>
      </c>
      <c r="X26" s="1" t="str">
        <f aca="false">IF(OR(V26="",W26=""),"",IF(B26="ADD",IF(AND(W26=0,V26=1),"TRUE","FALSE"),IF(B26="REMOVE",IF(AND(W26=1,V26=0),"TRUE","FALSE"),IF(B26="NONCI",IF(AND(W26=0,V26=0),"TRUE","FALSE"),""))))</f>
        <v>TRUE</v>
      </c>
    </row>
    <row r="27" customFormat="false" ht="15" hidden="false" customHeight="false" outlineLevel="0" collapsed="false">
      <c r="A27" s="1" t="n">
        <v>25</v>
      </c>
      <c r="B27" s="1" t="s">
        <v>146</v>
      </c>
      <c r="C27" s="1" t="s">
        <v>183</v>
      </c>
      <c r="D27" s="1" t="s">
        <v>77</v>
      </c>
      <c r="E27" s="1" t="n">
        <v>2.13609114981908</v>
      </c>
      <c r="F27" s="1" t="n">
        <v>41.4010048500573</v>
      </c>
      <c r="G27" s="1" t="s">
        <v>184</v>
      </c>
      <c r="H27" s="3" t="str">
        <f aca="false">HYPERLINK("https://www.google.com/maps/@?api=1&amp;map_action=pano&amp;viewpoint=41.4010048500573,2.13609114981908","Open GSV")</f>
        <v>Open GSV</v>
      </c>
      <c r="I27" s="1" t="n">
        <v>0</v>
      </c>
      <c r="J27" s="1" t="n">
        <v>7</v>
      </c>
      <c r="M27" s="8"/>
      <c r="N27" s="8"/>
      <c r="O27" s="1" t="n">
        <v>0</v>
      </c>
      <c r="P27" s="1" t="n">
        <v>6</v>
      </c>
      <c r="Q27" s="1" t="n">
        <v>0</v>
      </c>
      <c r="R27" s="1" t="n">
        <v>4</v>
      </c>
      <c r="U27" s="8"/>
      <c r="V27" s="1" t="n">
        <f aca="false">IF(AND(I27="",K27=""),IF(M27&lt;&gt;"",M27,""),IF(AND(I27&lt;&gt;"",K27=""),I27,IF(AND(I27="",K27&lt;&gt;""),K27,IF(ABS(J27-1)&lt;=ABS(13-L27),I27,K27))))</f>
        <v>0</v>
      </c>
      <c r="W27" s="1" t="n">
        <f aca="false">IF(AND(O27="",Q27=""),IF(S27&lt;&gt;"",S27,""),IF(AND(O27&lt;&gt;"",Q27=""),O27,IF(AND(O27="",Q27&lt;&gt;""),Q27,IF(ABS(P27-1)&lt;=ABS(13-R27),O27,Q27))))</f>
        <v>0</v>
      </c>
      <c r="X27" s="1" t="str">
        <f aca="false">IF(OR(V27="",W27=""),"",IF(B27="ADD",IF(AND(W27=0,V27=1),"TRUE","FALSE"),IF(B27="REMOVE",IF(AND(W27=1,V27=0),"TRUE","FALSE"),IF(B27="NONCI",IF(AND(W27=0,V27=0),"TRUE","FALSE"),""))))</f>
        <v>TRUE</v>
      </c>
    </row>
    <row r="28" customFormat="false" ht="15" hidden="false" customHeight="false" outlineLevel="0" collapsed="false">
      <c r="A28" s="1" t="n">
        <v>26</v>
      </c>
      <c r="B28" s="1" t="s">
        <v>146</v>
      </c>
      <c r="C28" s="1" t="s">
        <v>185</v>
      </c>
      <c r="D28" s="1" t="s">
        <v>77</v>
      </c>
      <c r="E28" s="1" t="n">
        <v>2.17196473004792</v>
      </c>
      <c r="F28" s="1" t="n">
        <v>41.4226246930358</v>
      </c>
      <c r="G28" s="1" t="s">
        <v>186</v>
      </c>
      <c r="H28" s="3" t="str">
        <f aca="false">HYPERLINK("https://www.google.com/maps/@?api=1&amp;map_action=pano&amp;viewpoint=41.4226246930358,2.17196473004792","Open GSV")</f>
        <v>Open GSV</v>
      </c>
      <c r="I28" s="1" t="n">
        <v>0</v>
      </c>
      <c r="J28" s="1" t="n">
        <v>7</v>
      </c>
      <c r="K28" s="1" t="n">
        <v>0</v>
      </c>
      <c r="L28" s="1" t="n">
        <v>3</v>
      </c>
      <c r="O28" s="1" t="n">
        <v>0</v>
      </c>
      <c r="P28" s="1" t="n">
        <v>4</v>
      </c>
      <c r="Q28" s="1" t="n">
        <v>0</v>
      </c>
      <c r="R28" s="1" t="n">
        <v>6</v>
      </c>
      <c r="U28" s="8"/>
      <c r="V28" s="1" t="n">
        <f aca="false">IF(AND(I28="",K28=""),IF(M28&lt;&gt;"",M28,""),IF(AND(I28&lt;&gt;"",K28=""),I28,IF(AND(I28="",K28&lt;&gt;""),K28,IF(ABS(J28-1)&lt;=ABS(13-L28),I28,K28))))</f>
        <v>0</v>
      </c>
      <c r="W28" s="1" t="n">
        <f aca="false">IF(AND(O28="",Q28=""),IF(S28&lt;&gt;"",S28,""),IF(AND(O28&lt;&gt;"",Q28=""),O28,IF(AND(O28="",Q28&lt;&gt;""),Q28,IF(ABS(P28-1)&lt;=ABS(13-R28),O28,Q28))))</f>
        <v>0</v>
      </c>
      <c r="X28" s="1" t="str">
        <f aca="false">IF(OR(V28="",W28=""),"",IF(B28="ADD",IF(AND(W28=0,V28=1),"TRUE","FALSE"),IF(B28="REMOVE",IF(AND(W28=1,V28=0),"TRUE","FALSE"),IF(B28="NONCI",IF(AND(W28=0,V28=0),"TRUE","FALSE"),""))))</f>
        <v>TRUE</v>
      </c>
    </row>
    <row r="29" customFormat="false" ht="15" hidden="false" customHeight="false" outlineLevel="0" collapsed="false">
      <c r="A29" s="1" t="n">
        <v>27</v>
      </c>
      <c r="B29" s="1" t="s">
        <v>146</v>
      </c>
      <c r="C29" s="1" t="s">
        <v>80</v>
      </c>
      <c r="D29" s="1" t="s">
        <v>77</v>
      </c>
      <c r="E29" s="1" t="n">
        <v>2.18467735930514</v>
      </c>
      <c r="F29" s="1" t="n">
        <v>41.4132997449837</v>
      </c>
      <c r="G29" s="1" t="s">
        <v>187</v>
      </c>
      <c r="H29" s="3" t="str">
        <f aca="false">HYPERLINK("https://www.google.com/maps/@?api=1&amp;map_action=pano&amp;viewpoint=41.4132997449837,2.18467735930514","Open GSV")</f>
        <v>Open GSV</v>
      </c>
      <c r="I29" s="1" t="n">
        <v>0</v>
      </c>
      <c r="J29" s="1" t="n">
        <v>7</v>
      </c>
      <c r="M29" s="8"/>
      <c r="N29" s="8"/>
      <c r="O29" s="1" t="n">
        <v>0</v>
      </c>
      <c r="P29" s="1" t="n">
        <v>4</v>
      </c>
      <c r="Q29" s="1" t="n">
        <v>0</v>
      </c>
      <c r="R29" s="1" t="n">
        <v>4</v>
      </c>
      <c r="U29" s="8"/>
      <c r="V29" s="1" t="n">
        <f aca="false">IF(AND(I29="",K29=""),IF(M29&lt;&gt;"",M29,""),IF(AND(I29&lt;&gt;"",K29=""),I29,IF(AND(I29="",K29&lt;&gt;""),K29,IF(ABS(J29-1)&lt;=ABS(13-L29),I29,K29))))</f>
        <v>0</v>
      </c>
      <c r="W29" s="1" t="n">
        <f aca="false">IF(AND(O29="",Q29=""),IF(S29&lt;&gt;"",S29,""),IF(AND(O29&lt;&gt;"",Q29=""),O29,IF(AND(O29="",Q29&lt;&gt;""),Q29,IF(ABS(P29-1)&lt;=ABS(13-R29),O29,Q29))))</f>
        <v>0</v>
      </c>
      <c r="X29" s="1" t="str">
        <f aca="false">IF(OR(V29="",W29=""),"",IF(B29="ADD",IF(AND(W29=0,V29=1),"TRUE","FALSE"),IF(B29="REMOVE",IF(AND(W29=1,V29=0),"TRUE","FALSE"),IF(B29="NONCI",IF(AND(W29=0,V29=0),"TRUE","FALSE"),""))))</f>
        <v>TRUE</v>
      </c>
    </row>
    <row r="30" customFormat="false" ht="15" hidden="false" customHeight="false" outlineLevel="0" collapsed="false">
      <c r="A30" s="1" t="n">
        <v>28</v>
      </c>
      <c r="B30" s="1" t="s">
        <v>146</v>
      </c>
      <c r="C30" s="1" t="s">
        <v>188</v>
      </c>
      <c r="D30" s="1" t="s">
        <v>77</v>
      </c>
      <c r="E30" s="1" t="n">
        <v>2.1562834011384</v>
      </c>
      <c r="F30" s="1" t="n">
        <v>41.4057193003193</v>
      </c>
      <c r="G30" s="1" t="s">
        <v>189</v>
      </c>
      <c r="H30" s="3" t="str">
        <f aca="false">HYPERLINK("https://www.google.com/maps/@?api=1&amp;map_action=pano&amp;viewpoint=41.4057193003193,2.1562834011384","Open GSV")</f>
        <v>Open GSV</v>
      </c>
      <c r="M30" s="1" t="n">
        <v>0</v>
      </c>
      <c r="N30" s="1" t="n">
        <v>3</v>
      </c>
      <c r="O30" s="1" t="n">
        <v>0</v>
      </c>
      <c r="P30" s="1" t="n">
        <v>6</v>
      </c>
      <c r="Q30" s="1" t="n">
        <v>0</v>
      </c>
      <c r="R30" s="1" t="n">
        <v>4</v>
      </c>
      <c r="U30" s="8" t="s">
        <v>190</v>
      </c>
      <c r="V30" s="1" t="n">
        <f aca="false">IF(AND(I30="",K30=""),IF(M30&lt;&gt;"",M30,""),IF(AND(I30&lt;&gt;"",K30=""),I30,IF(AND(I30="",K30&lt;&gt;""),K30,IF(ABS(J30-1)&lt;=ABS(13-L30),I30,K30))))</f>
        <v>0</v>
      </c>
      <c r="W30" s="1" t="n">
        <f aca="false">IF(AND(O30="",Q30=""),IF(S30&lt;&gt;"",S30,""),IF(AND(O30&lt;&gt;"",Q30=""),O30,IF(AND(O30="",Q30&lt;&gt;""),Q30,IF(ABS(P30-1)&lt;=ABS(13-R30),O30,Q30))))</f>
        <v>0</v>
      </c>
      <c r="X30" s="1" t="str">
        <f aca="false">IF(OR(V30="",W30=""),"",IF(B30="ADD",IF(AND(W30=0,V30=1),"TRUE","FALSE"),IF(B30="REMOVE",IF(AND(W30=1,V30=0),"TRUE","FALSE"),IF(B30="NONCI",IF(AND(W30=0,V30=0),"TRUE","FALSE"),""))))</f>
        <v>TRUE</v>
      </c>
    </row>
    <row r="31" customFormat="false" ht="15" hidden="false" customHeight="false" outlineLevel="0" collapsed="false">
      <c r="A31" s="1" t="n">
        <v>29</v>
      </c>
      <c r="B31" s="1" t="s">
        <v>146</v>
      </c>
      <c r="C31" s="1" t="s">
        <v>84</v>
      </c>
      <c r="D31" s="1" t="s">
        <v>77</v>
      </c>
      <c r="E31" s="1" t="n">
        <v>2.13581324384167</v>
      </c>
      <c r="F31" s="1" t="n">
        <v>41.3872125901025</v>
      </c>
      <c r="G31" s="1" t="s">
        <v>191</v>
      </c>
      <c r="H31" s="3" t="str">
        <f aca="false">HYPERLINK("https://www.google.com/maps/@?api=1&amp;map_action=pano&amp;viewpoint=41.3872125901025,2.13581324384167","Open GSV")</f>
        <v>Open GSV</v>
      </c>
      <c r="K31" s="1" t="n">
        <v>0</v>
      </c>
      <c r="L31" s="1" t="n">
        <v>7</v>
      </c>
      <c r="O31" s="1" t="n">
        <v>0</v>
      </c>
      <c r="P31" s="1" t="n">
        <v>6</v>
      </c>
      <c r="Q31" s="1" t="n">
        <v>0</v>
      </c>
      <c r="R31" s="1" t="n">
        <v>4</v>
      </c>
      <c r="V31" s="1" t="n">
        <f aca="false">IF(AND(I31="",K31=""),IF(M31&lt;&gt;"",M31,""),IF(AND(I31&lt;&gt;"",K31=""),I31,IF(AND(I31="",K31&lt;&gt;""),K31,IF(ABS(J31-1)&lt;=ABS(13-L31),I31,K31))))</f>
        <v>0</v>
      </c>
      <c r="W31" s="1" t="n">
        <f aca="false">IF(AND(O31="",Q31=""),IF(S31&lt;&gt;"",S31,""),IF(AND(O31&lt;&gt;"",Q31=""),O31,IF(AND(O31="",Q31&lt;&gt;""),Q31,IF(ABS(P31-1)&lt;=ABS(13-R31),O31,Q31))))</f>
        <v>0</v>
      </c>
      <c r="X31" s="1" t="str">
        <f aca="false">IF(OR(V31="",W31=""),"",IF(B31="ADD",IF(AND(W31=0,V31=1),"TRUE","FALSE"),IF(B31="REMOVE",IF(AND(W31=1,V31=0),"TRUE","FALSE"),IF(B31="NONCI",IF(AND(W31=0,V31=0),"TRUE","FALSE"),""))))</f>
        <v>TRUE</v>
      </c>
    </row>
    <row r="32" customFormat="false" ht="15" hidden="false" customHeight="false" outlineLevel="0" collapsed="false">
      <c r="A32" s="1" t="n">
        <v>30</v>
      </c>
      <c r="B32" s="1" t="s">
        <v>146</v>
      </c>
      <c r="C32" s="1" t="s">
        <v>87</v>
      </c>
      <c r="D32" s="1" t="s">
        <v>88</v>
      </c>
      <c r="E32" s="1" t="n">
        <v>2.18509796710136</v>
      </c>
      <c r="F32" s="1" t="n">
        <v>41.391080594057</v>
      </c>
      <c r="G32" s="1" t="s">
        <v>192</v>
      </c>
      <c r="H32" s="3" t="str">
        <f aca="false">HYPERLINK("https://www.google.com/maps/@?api=1&amp;map_action=pano&amp;viewpoint=41.391080594057,2.18509796710136","Open GSV")</f>
        <v>Open GSV</v>
      </c>
      <c r="I32" s="1" t="n">
        <v>0</v>
      </c>
      <c r="J32" s="1" t="n">
        <v>7</v>
      </c>
      <c r="K32" s="1" t="n">
        <v>0</v>
      </c>
      <c r="L32" s="1" t="n">
        <v>3</v>
      </c>
      <c r="O32" s="1" t="n">
        <v>0</v>
      </c>
      <c r="P32" s="1" t="n">
        <v>4</v>
      </c>
      <c r="Q32" s="1" t="n">
        <v>0</v>
      </c>
      <c r="R32" s="1" t="n">
        <v>8</v>
      </c>
      <c r="V32" s="1" t="n">
        <f aca="false">IF(AND(I32="",K32=""),IF(M32&lt;&gt;"",M32,""),IF(AND(I32&lt;&gt;"",K32=""),I32,IF(AND(I32="",K32&lt;&gt;""),K32,IF(ABS(J32-1)&lt;=ABS(13-L32),I32,K32))))</f>
        <v>0</v>
      </c>
      <c r="W32" s="1" t="n">
        <f aca="false">IF(AND(O32="",Q32=""),IF(S32&lt;&gt;"",S32,""),IF(AND(O32&lt;&gt;"",Q32=""),O32,IF(AND(O32="",Q32&lt;&gt;""),Q32,IF(ABS(P32-1)&lt;=ABS(13-R32),O32,Q32))))</f>
        <v>0</v>
      </c>
      <c r="X32" s="1" t="str">
        <f aca="false">IF(OR(V32="",W32=""),"",IF(B32="ADD",IF(AND(W32=0,V32=1),"TRUE","FALSE"),IF(B32="REMOVE",IF(AND(W32=1,V32=0),"TRUE","FALSE"),IF(B32="NONCI",IF(AND(W32=0,V32=0),"TRUE","FALSE"),""))))</f>
        <v>TRUE</v>
      </c>
    </row>
    <row r="33" customFormat="false" ht="15" hidden="false" customHeight="false" outlineLevel="0" collapsed="false">
      <c r="A33" s="1" t="n">
        <v>31</v>
      </c>
      <c r="B33" s="1" t="s">
        <v>146</v>
      </c>
      <c r="C33" s="1" t="s">
        <v>193</v>
      </c>
      <c r="D33" s="1" t="s">
        <v>88</v>
      </c>
      <c r="E33" s="1" t="n">
        <v>2.20237586249134</v>
      </c>
      <c r="F33" s="1" t="n">
        <v>41.4011555199841</v>
      </c>
      <c r="G33" s="1" t="s">
        <v>194</v>
      </c>
      <c r="H33" s="3" t="str">
        <f aca="false">HYPERLINK("https://www.google.com/maps/@?api=1&amp;map_action=pano&amp;viewpoint=41.4011555199841,2.20237586249134","Open GSV")</f>
        <v>Open GSV</v>
      </c>
      <c r="I33" s="1" t="n">
        <v>0</v>
      </c>
      <c r="J33" s="1" t="n">
        <v>8</v>
      </c>
      <c r="K33" s="1" t="n">
        <v>0</v>
      </c>
      <c r="L33" s="1" t="n">
        <v>3</v>
      </c>
      <c r="O33" s="1" t="n">
        <v>0</v>
      </c>
      <c r="P33" s="1" t="n">
        <v>4</v>
      </c>
      <c r="Q33" s="1" t="n">
        <v>0</v>
      </c>
      <c r="R33" s="1" t="n">
        <v>8</v>
      </c>
      <c r="V33" s="1" t="n">
        <f aca="false">IF(AND(I33="",K33=""),IF(M33&lt;&gt;"",M33,""),IF(AND(I33&lt;&gt;"",K33=""),I33,IF(AND(I33="",K33&lt;&gt;""),K33,IF(ABS(J33-1)&lt;=ABS(13-L33),I33,K33))))</f>
        <v>0</v>
      </c>
      <c r="W33" s="1" t="n">
        <f aca="false">IF(AND(O33="",Q33=""),IF(S33&lt;&gt;"",S33,""),IF(AND(O33&lt;&gt;"",Q33=""),O33,IF(AND(O33="",Q33&lt;&gt;""),Q33,IF(ABS(P33-1)&lt;=ABS(13-R33),O33,Q33))))</f>
        <v>0</v>
      </c>
      <c r="X33" s="1" t="str">
        <f aca="false">IF(OR(V33="",W33=""),"",IF(B33="ADD",IF(AND(W33=0,V33=1),"TRUE","FALSE"),IF(B33="REMOVE",IF(AND(W33=1,V33=0),"TRUE","FALSE"),IF(B33="NONCI",IF(AND(W33=0,V33=0),"TRUE","FALSE"),""))))</f>
        <v>TRUE</v>
      </c>
    </row>
    <row r="34" customFormat="false" ht="15" hidden="false" customHeight="false" outlineLevel="0" collapsed="false">
      <c r="A34" s="1" t="n">
        <v>32</v>
      </c>
      <c r="B34" s="1" t="s">
        <v>146</v>
      </c>
      <c r="C34" s="1" t="s">
        <v>195</v>
      </c>
      <c r="D34" s="1" t="s">
        <v>88</v>
      </c>
      <c r="E34" s="1" t="n">
        <v>2.19139544456942</v>
      </c>
      <c r="F34" s="1" t="n">
        <v>41.3800730268472</v>
      </c>
      <c r="G34" s="1" t="s">
        <v>196</v>
      </c>
      <c r="H34" s="3" t="str">
        <f aca="false">HYPERLINK("https://www.google.com/maps/@?api=1&amp;map_action=pano&amp;viewpoint=41.3800730268472,2.19139544456942","Open GSV")</f>
        <v>Open GSV</v>
      </c>
      <c r="I34" s="1" t="n">
        <v>0</v>
      </c>
      <c r="J34" s="1" t="n">
        <v>7</v>
      </c>
      <c r="Q34" s="1" t="n">
        <v>0</v>
      </c>
      <c r="R34" s="1" t="n">
        <v>3</v>
      </c>
      <c r="V34" s="1" t="n">
        <f aca="false">IF(AND(I34="",K34=""),IF(M34&lt;&gt;"",M34,""),IF(AND(I34&lt;&gt;"",K34=""),I34,IF(AND(I34="",K34&lt;&gt;""),K34,IF(ABS(J34-1)&lt;=ABS(13-L34),I34,K34))))</f>
        <v>0</v>
      </c>
      <c r="W34" s="1" t="n">
        <f aca="false">IF(AND(O34="",Q34=""),IF(S34&lt;&gt;"",S34,""),IF(AND(O34&lt;&gt;"",Q34=""),O34,IF(AND(O34="",Q34&lt;&gt;""),Q34,IF(ABS(P34-1)&lt;=ABS(13-R34),O34,Q34))))</f>
        <v>0</v>
      </c>
      <c r="X34" s="1" t="str">
        <f aca="false">IF(OR(V34="",W34=""),"",IF(B34="ADD",IF(AND(W34=0,V34=1),"TRUE","FALSE"),IF(B34="REMOVE",IF(AND(W34=1,V34=0),"TRUE","FALSE"),IF(B34="NONCI",IF(AND(W34=0,V34=0),"TRUE","FALSE"),""))))</f>
        <v>TRUE</v>
      </c>
    </row>
    <row r="35" customFormat="false" ht="15" hidden="false" customHeight="false" outlineLevel="0" collapsed="false">
      <c r="A35" s="1" t="n">
        <v>33</v>
      </c>
      <c r="B35" s="1" t="s">
        <v>146</v>
      </c>
      <c r="C35" s="1" t="s">
        <v>197</v>
      </c>
      <c r="D35" s="1" t="s">
        <v>88</v>
      </c>
      <c r="E35" s="1" t="n">
        <v>2.1831528971609</v>
      </c>
      <c r="F35" s="1" t="n">
        <v>41.3843067005011</v>
      </c>
      <c r="G35" s="1" t="s">
        <v>198</v>
      </c>
      <c r="H35" s="3" t="str">
        <f aca="false">HYPERLINK("https://www.google.com/maps/@?api=1&amp;map_action=pano&amp;viewpoint=41.3843067005011,2.1831528971609","Open GSV")</f>
        <v>Open GSV</v>
      </c>
      <c r="K35" s="1" t="n">
        <v>0</v>
      </c>
      <c r="L35" s="1" t="n">
        <v>4</v>
      </c>
      <c r="M35" s="8"/>
      <c r="N35" s="8"/>
      <c r="O35" s="1" t="n">
        <v>0</v>
      </c>
      <c r="P35" s="1" t="n">
        <v>6</v>
      </c>
      <c r="U35" s="8"/>
      <c r="V35" s="1" t="n">
        <f aca="false">IF(AND(I35="",K35=""),IF(M35&lt;&gt;"",M35,""),IF(AND(I35&lt;&gt;"",K35=""),I35,IF(AND(I35="",K35&lt;&gt;""),K35,IF(ABS(J35-1)&lt;=ABS(13-L35),I35,K35))))</f>
        <v>0</v>
      </c>
      <c r="W35" s="1" t="n">
        <f aca="false">IF(AND(O35="",Q35=""),IF(S35&lt;&gt;"",S35,""),IF(AND(O35&lt;&gt;"",Q35=""),O35,IF(AND(O35="",Q35&lt;&gt;""),Q35,IF(ABS(P35-1)&lt;=ABS(13-R35),O35,Q35))))</f>
        <v>0</v>
      </c>
      <c r="X35" s="1" t="str">
        <f aca="false">IF(OR(V35="",W35=""),"",IF(B35="ADD",IF(AND(W35=0,V35=1),"TRUE","FALSE"),IF(B35="REMOVE",IF(AND(W35=1,V35=0),"TRUE","FALSE"),IF(B35="NONCI",IF(AND(W35=0,V35=0),"TRUE","FALSE"),""))))</f>
        <v>TRUE</v>
      </c>
    </row>
    <row r="36" customFormat="false" ht="15" hidden="false" customHeight="false" outlineLevel="0" collapsed="false">
      <c r="A36" s="1" t="n">
        <v>34</v>
      </c>
      <c r="B36" s="1" t="s">
        <v>146</v>
      </c>
      <c r="C36" s="1" t="s">
        <v>93</v>
      </c>
      <c r="D36" s="1" t="s">
        <v>88</v>
      </c>
      <c r="E36" s="1" t="n">
        <v>2.15678942388002</v>
      </c>
      <c r="F36" s="1" t="n">
        <v>41.3983624631247</v>
      </c>
      <c r="G36" s="1" t="s">
        <v>199</v>
      </c>
      <c r="H36" s="3" t="str">
        <f aca="false">HYPERLINK("https://www.google.com/maps/@?api=1&amp;map_action=pano&amp;viewpoint=41.3983624631247,2.15678942388002","Open GSV")</f>
        <v>Open GSV</v>
      </c>
      <c r="U36" s="8" t="s">
        <v>200</v>
      </c>
      <c r="V36" s="1" t="str">
        <f aca="false">IF(AND(I36="",K36=""),IF(M36&lt;&gt;"",M36,""),IF(AND(I36&lt;&gt;"",K36=""),I36,IF(AND(I36="",K36&lt;&gt;""),K36,IF(ABS(J36-1)&lt;=ABS(13-L36),I36,K36))))</f>
        <v/>
      </c>
      <c r="W36" s="1" t="str">
        <f aca="false">IF(AND(O36="",Q36=""),IF(S36&lt;&gt;"",S36,""),IF(AND(O36&lt;&gt;"",Q36=""),O36,IF(AND(O36="",Q36&lt;&gt;""),Q36,IF(ABS(P36-1)&lt;=ABS(13-R36),O36,Q36))))</f>
        <v/>
      </c>
      <c r="X36" s="1" t="str">
        <f aca="false">IF(OR(V36="",W36=""),"",IF(B36="ADD",IF(AND(W36=0,V36=1),"TRUE","FALSE"),IF(B36="REMOVE",IF(AND(W36=1,V36=0),"TRUE","FALSE"),IF(B36="NONCI",IF(AND(W36=0,V36=0),"TRUE","FALSE"),""))))</f>
        <v/>
      </c>
    </row>
    <row r="37" customFormat="false" ht="15" hidden="false" customHeight="false" outlineLevel="0" collapsed="false">
      <c r="A37" s="1" t="n">
        <v>35</v>
      </c>
      <c r="B37" s="1" t="s">
        <v>146</v>
      </c>
      <c r="C37" s="1" t="s">
        <v>201</v>
      </c>
      <c r="D37" s="1" t="s">
        <v>97</v>
      </c>
      <c r="E37" s="1" t="n">
        <v>2.14114636598878</v>
      </c>
      <c r="F37" s="1" t="n">
        <v>41.4113466536383</v>
      </c>
      <c r="G37" s="1" t="s">
        <v>202</v>
      </c>
      <c r="H37" s="3" t="str">
        <f aca="false">HYPERLINK("https://www.google.com/maps/@?api=1&amp;map_action=pano&amp;viewpoint=41.4113466536383,2.14114636598878","Open GSV")</f>
        <v>Open GSV</v>
      </c>
      <c r="M37" s="8" t="n">
        <v>0</v>
      </c>
      <c r="N37" s="8" t="n">
        <v>2</v>
      </c>
      <c r="O37" s="1" t="n">
        <v>0</v>
      </c>
      <c r="P37" s="1" t="n">
        <v>6</v>
      </c>
      <c r="Q37" s="1" t="n">
        <v>0</v>
      </c>
      <c r="R37" s="1" t="n">
        <v>4</v>
      </c>
      <c r="U37" s="8"/>
      <c r="V37" s="1" t="n">
        <f aca="false">IF(AND(I37="",K37=""),IF(M37&lt;&gt;"",M37,""),IF(AND(I37&lt;&gt;"",K37=""),I37,IF(AND(I37="",K37&lt;&gt;""),K37,IF(ABS(J37-1)&lt;=ABS(13-L37),I37,K37))))</f>
        <v>0</v>
      </c>
      <c r="W37" s="1" t="n">
        <f aca="false">IF(AND(O37="",Q37=""),IF(S37&lt;&gt;"",S37,""),IF(AND(O37&lt;&gt;"",Q37=""),O37,IF(AND(O37="",Q37&lt;&gt;""),Q37,IF(ABS(P37-1)&lt;=ABS(13-R37),O37,Q37))))</f>
        <v>0</v>
      </c>
      <c r="X37" s="1" t="str">
        <f aca="false">IF(OR(V37="",W37=""),"",IF(B37="ADD",IF(AND(W37=0,V37=1),"TRUE","FALSE"),IF(B37="REMOVE",IF(AND(W37=1,V37=0),"TRUE","FALSE"),IF(B37="NONCI",IF(AND(W37=0,V37=0),"TRUE","FALSE"),""))))</f>
        <v>TRUE</v>
      </c>
    </row>
    <row r="38" customFormat="false" ht="15" hidden="false" customHeight="false" outlineLevel="0" collapsed="false">
      <c r="A38" s="1" t="n">
        <v>36</v>
      </c>
      <c r="B38" s="1" t="s">
        <v>146</v>
      </c>
      <c r="C38" s="1" t="s">
        <v>203</v>
      </c>
      <c r="D38" s="1" t="s">
        <v>97</v>
      </c>
      <c r="E38" s="1" t="n">
        <v>2.17240513302861</v>
      </c>
      <c r="F38" s="1" t="n">
        <v>41.426135711319</v>
      </c>
      <c r="G38" s="1" t="s">
        <v>204</v>
      </c>
      <c r="H38" s="3" t="str">
        <f aca="false">HYPERLINK("https://www.google.com/maps/@?api=1&amp;map_action=pano&amp;viewpoint=41.426135711319,2.17240513302861","Open GSV")</f>
        <v>Open GSV</v>
      </c>
      <c r="I38" s="1" t="n">
        <v>0</v>
      </c>
      <c r="J38" s="1" t="n">
        <v>7</v>
      </c>
      <c r="K38" s="1" t="n">
        <v>0</v>
      </c>
      <c r="L38" s="1" t="n">
        <v>3</v>
      </c>
      <c r="O38" s="1" t="n">
        <v>0</v>
      </c>
      <c r="P38" s="1" t="n">
        <v>4</v>
      </c>
      <c r="Q38" s="1" t="n">
        <v>0</v>
      </c>
      <c r="R38" s="1" t="n">
        <v>6</v>
      </c>
      <c r="V38" s="1" t="n">
        <f aca="false">IF(AND(I38="",K38=""),IF(M38&lt;&gt;"",M38,""),IF(AND(I38&lt;&gt;"",K38=""),I38,IF(AND(I38="",K38&lt;&gt;""),K38,IF(ABS(J38-1)&lt;=ABS(13-L38),I38,K38))))</f>
        <v>0</v>
      </c>
      <c r="W38" s="1" t="n">
        <f aca="false">IF(AND(O38="",Q38=""),IF(S38&lt;&gt;"",S38,""),IF(AND(O38&lt;&gt;"",Q38=""),O38,IF(AND(O38="",Q38&lt;&gt;""),Q38,IF(ABS(P38-1)&lt;=ABS(13-R38),O38,Q38))))</f>
        <v>0</v>
      </c>
      <c r="X38" s="1" t="str">
        <f aca="false">IF(OR(V38="",W38=""),"",IF(B38="ADD",IF(AND(W38=0,V38=1),"TRUE","FALSE"),IF(B38="REMOVE",IF(AND(W38=1,V38=0),"TRUE","FALSE"),IF(B38="NONCI",IF(AND(W38=0,V38=0),"TRUE","FALSE"),""))))</f>
        <v>TRUE</v>
      </c>
    </row>
    <row r="39" customFormat="false" ht="15" hidden="false" customHeight="false" outlineLevel="0" collapsed="false">
      <c r="A39" s="1" t="n">
        <v>37</v>
      </c>
      <c r="B39" s="1" t="s">
        <v>146</v>
      </c>
      <c r="C39" s="1" t="s">
        <v>205</v>
      </c>
      <c r="D39" s="1" t="s">
        <v>97</v>
      </c>
      <c r="E39" s="1" t="n">
        <v>2.17558434676366</v>
      </c>
      <c r="F39" s="1" t="n">
        <v>41.4375909606213</v>
      </c>
      <c r="G39" s="1" t="s">
        <v>206</v>
      </c>
      <c r="H39" s="3" t="str">
        <f aca="false">HYPERLINK("https://www.google.com/maps/@?api=1&amp;map_action=pano&amp;viewpoint=41.4375909606213,2.17558434676366","Open GSV")</f>
        <v>Open GSV</v>
      </c>
      <c r="I39" s="1" t="n">
        <v>0</v>
      </c>
      <c r="J39" s="1" t="n">
        <v>7</v>
      </c>
      <c r="K39" s="1" t="n">
        <v>0</v>
      </c>
      <c r="L39" s="1" t="n">
        <v>10</v>
      </c>
      <c r="O39" s="1" t="n">
        <v>0</v>
      </c>
      <c r="P39" s="1" t="n">
        <v>4</v>
      </c>
      <c r="Q39" s="1" t="n">
        <v>0</v>
      </c>
      <c r="R39" s="1" t="n">
        <v>7</v>
      </c>
      <c r="V39" s="1" t="n">
        <f aca="false">IF(AND(I39="",K39=""),IF(M39&lt;&gt;"",M39,""),IF(AND(I39&lt;&gt;"",K39=""),I39,IF(AND(I39="",K39&lt;&gt;""),K39,IF(ABS(J39-1)&lt;=ABS(13-L39),I39,K39))))</f>
        <v>0</v>
      </c>
      <c r="W39" s="1" t="n">
        <f aca="false">IF(AND(O39="",Q39=""),IF(S39&lt;&gt;"",S39,""),IF(AND(O39&lt;&gt;"",Q39=""),O39,IF(AND(O39="",Q39&lt;&gt;""),Q39,IF(ABS(P39-1)&lt;=ABS(13-R39),O39,Q39))))</f>
        <v>0</v>
      </c>
      <c r="X39" s="1" t="str">
        <f aca="false">IF(OR(V39="",W39=""),"",IF(B39="ADD",IF(AND(W39=0,V39=1),"TRUE","FALSE"),IF(B39="REMOVE",IF(AND(W39=1,V39=0),"TRUE","FALSE"),IF(B39="NONCI",IF(AND(W39=0,V39=0),"TRUE","FALSE"),""))))</f>
        <v>TRUE</v>
      </c>
    </row>
    <row r="40" customFormat="false" ht="15" hidden="false" customHeight="false" outlineLevel="0" collapsed="false">
      <c r="A40" s="1" t="n">
        <v>38</v>
      </c>
      <c r="B40" s="1" t="s">
        <v>146</v>
      </c>
      <c r="C40" s="1" t="s">
        <v>207</v>
      </c>
      <c r="D40" s="1" t="s">
        <v>97</v>
      </c>
      <c r="E40" s="1" t="n">
        <v>2.172146050328</v>
      </c>
      <c r="F40" s="1" t="n">
        <v>41.4283525000278</v>
      </c>
      <c r="G40" s="1" t="s">
        <v>208</v>
      </c>
      <c r="H40" s="3" t="str">
        <f aca="false">HYPERLINK("https://www.google.com/maps/@?api=1&amp;map_action=pano&amp;viewpoint=41.4283525000278,2.172146050328","Open GSV")</f>
        <v>Open GSV</v>
      </c>
      <c r="I40" s="1" t="n">
        <v>0</v>
      </c>
      <c r="J40" s="1" t="n">
        <v>7</v>
      </c>
      <c r="K40" s="1" t="n">
        <v>0</v>
      </c>
      <c r="L40" s="1" t="n">
        <v>3</v>
      </c>
      <c r="O40" s="1" t="n">
        <v>0</v>
      </c>
      <c r="P40" s="1" t="n">
        <v>4</v>
      </c>
      <c r="Q40" s="1" t="n">
        <v>0</v>
      </c>
      <c r="R40" s="1" t="n">
        <v>7</v>
      </c>
      <c r="V40" s="1" t="n">
        <f aca="false">IF(AND(I40="",K40=""),IF(M40&lt;&gt;"",M40,""),IF(AND(I40&lt;&gt;"",K40=""),I40,IF(AND(I40="",K40&lt;&gt;""),K40,IF(ABS(J40-1)&lt;=ABS(13-L40),I40,K40))))</f>
        <v>0</v>
      </c>
      <c r="W40" s="1" t="n">
        <f aca="false">IF(AND(O40="",Q40=""),IF(S40&lt;&gt;"",S40,""),IF(AND(O40&lt;&gt;"",Q40=""),O40,IF(AND(O40="",Q40&lt;&gt;""),Q40,IF(ABS(P40-1)&lt;=ABS(13-R40),O40,Q40))))</f>
        <v>0</v>
      </c>
      <c r="X40" s="1" t="str">
        <f aca="false">IF(OR(V40="",W40=""),"",IF(B40="ADD",IF(AND(W40=0,V40=1),"TRUE","FALSE"),IF(B40="REMOVE",IF(AND(W40=1,V40=0),"TRUE","FALSE"),IF(B40="NONCI",IF(AND(W40=0,V40=0),"TRUE","FALSE"),""))))</f>
        <v>TRUE</v>
      </c>
    </row>
    <row r="41" customFormat="false" ht="15" hidden="false" customHeight="false" outlineLevel="0" collapsed="false">
      <c r="A41" s="1" t="n">
        <v>39</v>
      </c>
      <c r="B41" s="1" t="s">
        <v>146</v>
      </c>
      <c r="C41" s="1" t="s">
        <v>96</v>
      </c>
      <c r="D41" s="1" t="s">
        <v>97</v>
      </c>
      <c r="E41" s="1" t="n">
        <v>2.12497775693313</v>
      </c>
      <c r="F41" s="1" t="n">
        <v>41.3762841412853</v>
      </c>
      <c r="G41" s="1" t="s">
        <v>209</v>
      </c>
      <c r="H41" s="3" t="str">
        <f aca="false">HYPERLINK("https://www.google.com/maps/@?api=1&amp;map_action=pano&amp;viewpoint=41.3762841412853,2.12497775693313","Open GSV")</f>
        <v>Open GSV</v>
      </c>
      <c r="I41" s="1" t="n">
        <v>0</v>
      </c>
      <c r="J41" s="1" t="n">
        <v>7</v>
      </c>
      <c r="K41" s="1" t="n">
        <v>0</v>
      </c>
      <c r="L41" s="1" t="n">
        <v>9</v>
      </c>
      <c r="O41" s="1" t="n">
        <v>0</v>
      </c>
      <c r="P41" s="1" t="n">
        <v>5</v>
      </c>
      <c r="Q41" s="1" t="n">
        <v>0</v>
      </c>
      <c r="R41" s="1" t="n">
        <v>5</v>
      </c>
      <c r="V41" s="1" t="n">
        <f aca="false">IF(AND(I41="",K41=""),IF(M41&lt;&gt;"",M41,""),IF(AND(I41&lt;&gt;"",K41=""),I41,IF(AND(I41="",K41&lt;&gt;""),K41,IF(ABS(J41-1)&lt;=ABS(13-L41),I41,K41))))</f>
        <v>0</v>
      </c>
      <c r="W41" s="1" t="n">
        <f aca="false">IF(AND(O41="",Q41=""),IF(S41&lt;&gt;"",S41,""),IF(AND(O41&lt;&gt;"",Q41=""),O41,IF(AND(O41="",Q41&lt;&gt;""),Q41,IF(ABS(P41-1)&lt;=ABS(13-R41),O41,Q41))))</f>
        <v>0</v>
      </c>
      <c r="X41" s="1" t="str">
        <f aca="false">IF(OR(V41="",W41=""),"",IF(B41="ADD",IF(AND(W41=0,V41=1),"TRUE","FALSE"),IF(B41="REMOVE",IF(AND(W41=1,V41=0),"TRUE","FALSE"),IF(B41="NONCI",IF(AND(W41=0,V41=0),"TRUE","FALSE"),""))))</f>
        <v>TRUE</v>
      </c>
    </row>
    <row r="42" customFormat="false" ht="15" hidden="false" customHeight="false" outlineLevel="0" collapsed="false">
      <c r="A42" s="1" t="n">
        <v>40</v>
      </c>
      <c r="B42" s="1" t="s">
        <v>146</v>
      </c>
      <c r="C42" s="1" t="s">
        <v>99</v>
      </c>
      <c r="D42" s="1" t="s">
        <v>100</v>
      </c>
      <c r="E42" s="1" t="n">
        <v>2.13175238117479</v>
      </c>
      <c r="F42" s="1" t="n">
        <v>41.3747198157894</v>
      </c>
      <c r="G42" s="1" t="s">
        <v>210</v>
      </c>
      <c r="H42" s="3" t="str">
        <f aca="false">HYPERLINK("https://www.google.com/maps/@?api=1&amp;map_action=pano&amp;viewpoint=41.3747198157894,2.13175238117479","Open GSV")</f>
        <v>Open GSV</v>
      </c>
      <c r="M42" s="1" t="n">
        <v>0</v>
      </c>
      <c r="N42" s="1" t="n">
        <v>1</v>
      </c>
      <c r="O42" s="1" t="n">
        <v>0</v>
      </c>
      <c r="P42" s="1" t="n">
        <v>6</v>
      </c>
      <c r="Q42" s="1" t="n">
        <v>0</v>
      </c>
      <c r="R42" s="1" t="n">
        <v>4</v>
      </c>
      <c r="U42" s="8" t="s">
        <v>181</v>
      </c>
      <c r="V42" s="1" t="n">
        <f aca="false">IF(AND(I42="",K42=""),IF(M42&lt;&gt;"",M42,""),IF(AND(I42&lt;&gt;"",K42=""),I42,IF(AND(I42="",K42&lt;&gt;""),K42,IF(ABS(J42-1)&lt;=ABS(13-L42),I42,K42))))</f>
        <v>0</v>
      </c>
      <c r="W42" s="1" t="n">
        <f aca="false">IF(AND(O42="",Q42=""),IF(S42&lt;&gt;"",S42,""),IF(AND(O42&lt;&gt;"",Q42=""),O42,IF(AND(O42="",Q42&lt;&gt;""),Q42,IF(ABS(P42-1)&lt;=ABS(13-R42),O42,Q42))))</f>
        <v>0</v>
      </c>
      <c r="X42" s="1" t="str">
        <f aca="false">IF(OR(V42="",W42=""),"",IF(B42="ADD",IF(AND(W42=0,V42=1),"TRUE","FALSE"),IF(B42="REMOVE",IF(AND(W42=1,V42=0),"TRUE","FALSE"),IF(B42="NONCI",IF(AND(W42=0,V42=0),"TRUE","FALSE"),""))))</f>
        <v>TRUE</v>
      </c>
    </row>
    <row r="43" customFormat="false" ht="15" hidden="false" customHeight="false" outlineLevel="0" collapsed="false">
      <c r="A43" s="1" t="n">
        <v>41</v>
      </c>
      <c r="B43" s="1" t="s">
        <v>146</v>
      </c>
      <c r="C43" s="1" t="s">
        <v>103</v>
      </c>
      <c r="D43" s="1" t="s">
        <v>100</v>
      </c>
      <c r="E43" s="1" t="n">
        <v>2.17998387981679</v>
      </c>
      <c r="F43" s="1" t="n">
        <v>41.4130107880215</v>
      </c>
      <c r="G43" s="1" t="s">
        <v>211</v>
      </c>
      <c r="H43" s="3" t="str">
        <f aca="false">HYPERLINK("https://www.google.com/maps/@?api=1&amp;map_action=pano&amp;viewpoint=41.4130107880215,2.17998387981679","Open GSV")</f>
        <v>Open GSV</v>
      </c>
      <c r="M43" s="8" t="n">
        <v>0</v>
      </c>
      <c r="N43" s="8" t="n">
        <v>1</v>
      </c>
      <c r="O43" s="1" t="n">
        <v>0</v>
      </c>
      <c r="P43" s="1" t="n">
        <v>4</v>
      </c>
      <c r="Q43" s="1" t="n">
        <v>0</v>
      </c>
      <c r="R43" s="1" t="n">
        <v>4</v>
      </c>
      <c r="U43" s="8" t="s">
        <v>181</v>
      </c>
      <c r="V43" s="1" t="n">
        <f aca="false">IF(AND(I43="",K43=""),IF(M43&lt;&gt;"",M43,""),IF(AND(I43&lt;&gt;"",K43=""),I43,IF(AND(I43="",K43&lt;&gt;""),K43,IF(ABS(J43-1)&lt;=ABS(13-L43),I43,K43))))</f>
        <v>0</v>
      </c>
      <c r="W43" s="1" t="n">
        <f aca="false">IF(AND(O43="",Q43=""),IF(S43&lt;&gt;"",S43,""),IF(AND(O43&lt;&gt;"",Q43=""),O43,IF(AND(O43="",Q43&lt;&gt;""),Q43,IF(ABS(P43-1)&lt;=ABS(13-R43),O43,Q43))))</f>
        <v>0</v>
      </c>
      <c r="X43" s="1" t="str">
        <f aca="false">IF(OR(V43="",W43=""),"",IF(B43="ADD",IF(AND(W43=0,V43=1),"TRUE","FALSE"),IF(B43="REMOVE",IF(AND(W43=1,V43=0),"TRUE","FALSE"),IF(B43="NONCI",IF(AND(W43=0,V43=0),"TRUE","FALSE"),""))))</f>
        <v>TRUE</v>
      </c>
    </row>
    <row r="44" customFormat="false" ht="15" hidden="false" customHeight="false" outlineLevel="0" collapsed="false">
      <c r="A44" s="1" t="n">
        <v>42</v>
      </c>
      <c r="B44" s="1" t="s">
        <v>146</v>
      </c>
      <c r="C44" s="1" t="s">
        <v>108</v>
      </c>
      <c r="D44" s="1" t="s">
        <v>100</v>
      </c>
      <c r="E44" s="1" t="n">
        <v>2.13746672328433</v>
      </c>
      <c r="F44" s="1" t="n">
        <v>41.3837233079119</v>
      </c>
      <c r="G44" s="1" t="s">
        <v>212</v>
      </c>
      <c r="H44" s="3" t="str">
        <f aca="false">HYPERLINK("https://www.google.com/maps/@?api=1&amp;map_action=pano&amp;viewpoint=41.3837233079119,2.13746672328433","Open GSV")</f>
        <v>Open GSV</v>
      </c>
      <c r="M44" s="1" t="n">
        <v>0</v>
      </c>
      <c r="N44" s="1" t="n">
        <v>1</v>
      </c>
      <c r="O44" s="1" t="n">
        <v>0</v>
      </c>
      <c r="P44" s="1" t="n">
        <v>7</v>
      </c>
      <c r="Q44" s="1" t="n">
        <v>0</v>
      </c>
      <c r="R44" s="1" t="n">
        <v>4</v>
      </c>
      <c r="U44" s="8"/>
      <c r="V44" s="1" t="n">
        <f aca="false">IF(AND(I44="",K44=""),IF(M44&lt;&gt;"",M44,""),IF(AND(I44&lt;&gt;"",K44=""),I44,IF(AND(I44="",K44&lt;&gt;""),K44,IF(ABS(J44-1)&lt;=ABS(13-L44),I44,K44))))</f>
        <v>0</v>
      </c>
      <c r="W44" s="1" t="n">
        <f aca="false">IF(AND(O44="",Q44=""),IF(S44&lt;&gt;"",S44,""),IF(AND(O44&lt;&gt;"",Q44=""),O44,IF(AND(O44="",Q44&lt;&gt;""),Q44,IF(ABS(P44-1)&lt;=ABS(13-R44),O44,Q44))))</f>
        <v>0</v>
      </c>
      <c r="X44" s="1" t="str">
        <f aca="false">IF(OR(V44="",W44=""),"",IF(B44="ADD",IF(AND(W44=0,V44=1),"TRUE","FALSE"),IF(B44="REMOVE",IF(AND(W44=1,V44=0),"TRUE","FALSE"),IF(B44="NONCI",IF(AND(W44=0,V44=0),"TRUE","FALSE"),""))))</f>
        <v>TRUE</v>
      </c>
    </row>
    <row r="45" customFormat="false" ht="15" hidden="false" customHeight="false" outlineLevel="0" collapsed="false">
      <c r="A45" s="1" t="n">
        <v>43</v>
      </c>
      <c r="B45" s="1" t="s">
        <v>146</v>
      </c>
      <c r="C45" s="1" t="s">
        <v>111</v>
      </c>
      <c r="D45" s="1" t="s">
        <v>100</v>
      </c>
      <c r="E45" s="1" t="n">
        <v>2.18877627141089</v>
      </c>
      <c r="F45" s="1" t="n">
        <v>41.4180150021324</v>
      </c>
      <c r="G45" s="1" t="s">
        <v>213</v>
      </c>
      <c r="H45" s="3" t="str">
        <f aca="false">HYPERLINK("https://www.google.com/maps/@?api=1&amp;map_action=pano&amp;viewpoint=41.4180150021324,2.18877627141089","Open GSV")</f>
        <v>Open GSV</v>
      </c>
      <c r="I45" s="1" t="n">
        <v>0</v>
      </c>
      <c r="J45" s="1" t="n">
        <v>7</v>
      </c>
      <c r="K45" s="1" t="n">
        <v>0</v>
      </c>
      <c r="L45" s="1" t="n">
        <v>3</v>
      </c>
      <c r="M45" s="8"/>
      <c r="N45" s="8"/>
      <c r="O45" s="1" t="n">
        <v>0</v>
      </c>
      <c r="P45" s="1" t="n">
        <v>4</v>
      </c>
      <c r="Q45" s="1" t="n">
        <v>0</v>
      </c>
      <c r="R45" s="1" t="n">
        <v>4</v>
      </c>
      <c r="U45" s="8"/>
      <c r="V45" s="1" t="n">
        <f aca="false">IF(AND(I45="",K45=""),IF(M45&lt;&gt;"",M45,""),IF(AND(I45&lt;&gt;"",K45=""),I45,IF(AND(I45="",K45&lt;&gt;""),K45,IF(ABS(J45-1)&lt;=ABS(13-L45),I45,K45))))</f>
        <v>0</v>
      </c>
      <c r="W45" s="1" t="n">
        <f aca="false">IF(AND(O45="",Q45=""),IF(S45&lt;&gt;"",S45,""),IF(AND(O45&lt;&gt;"",Q45=""),O45,IF(AND(O45="",Q45&lt;&gt;""),Q45,IF(ABS(P45-1)&lt;=ABS(13-R45),O45,Q45))))</f>
        <v>0</v>
      </c>
      <c r="X45" s="1" t="str">
        <f aca="false">IF(OR(V45="",W45=""),"",IF(B45="ADD",IF(AND(W45=0,V45=1),"TRUE","FALSE"),IF(B45="REMOVE",IF(AND(W45=1,V45=0),"TRUE","FALSE"),IF(B45="NONCI",IF(AND(W45=0,V45=0),"TRUE","FALSE"),""))))</f>
        <v>TRUE</v>
      </c>
    </row>
    <row r="46" customFormat="false" ht="15" hidden="false" customHeight="false" outlineLevel="0" collapsed="false">
      <c r="A46" s="1" t="n">
        <v>44</v>
      </c>
      <c r="B46" s="1" t="s">
        <v>146</v>
      </c>
      <c r="C46" s="1" t="s">
        <v>214</v>
      </c>
      <c r="D46" s="1" t="s">
        <v>100</v>
      </c>
      <c r="E46" s="1" t="n">
        <v>2.18247199757422</v>
      </c>
      <c r="F46" s="1" t="n">
        <v>41.4143767531686</v>
      </c>
      <c r="G46" s="1" t="s">
        <v>215</v>
      </c>
      <c r="H46" s="3" t="str">
        <f aca="false">HYPERLINK("https://www.google.com/maps/@?api=1&amp;map_action=pano&amp;viewpoint=41.4143767531686,2.18247199757422","Open GSV")</f>
        <v>Open GSV</v>
      </c>
      <c r="K46" s="1" t="n">
        <v>0</v>
      </c>
      <c r="L46" s="1" t="n">
        <v>3</v>
      </c>
      <c r="O46" s="1" t="n">
        <v>0</v>
      </c>
      <c r="P46" s="1" t="n">
        <v>4</v>
      </c>
      <c r="Q46" s="1" t="n">
        <v>0</v>
      </c>
      <c r="R46" s="1" t="n">
        <v>3</v>
      </c>
      <c r="V46" s="1" t="n">
        <f aca="false">IF(AND(I46="",K46=""),IF(M46&lt;&gt;"",M46,""),IF(AND(I46&lt;&gt;"",K46=""),I46,IF(AND(I46="",K46&lt;&gt;""),K46,IF(ABS(J46-1)&lt;=ABS(13-L46),I46,K46))))</f>
        <v>0</v>
      </c>
      <c r="W46" s="1" t="n">
        <f aca="false">IF(AND(O46="",Q46=""),IF(S46&lt;&gt;"",S46,""),IF(AND(O46&lt;&gt;"",Q46=""),O46,IF(AND(O46="",Q46&lt;&gt;""),Q46,IF(ABS(P46-1)&lt;=ABS(13-R46),O46,Q46))))</f>
        <v>0</v>
      </c>
      <c r="X46" s="1" t="str">
        <f aca="false">IF(OR(V46="",W46=""),"",IF(B46="ADD",IF(AND(W46=0,V46=1),"TRUE","FALSE"),IF(B46="REMOVE",IF(AND(W46=1,V46=0),"TRUE","FALSE"),IF(B46="NONCI",IF(AND(W46=0,V46=0),"TRUE","FALSE"),""))))</f>
        <v>TRUE</v>
      </c>
    </row>
    <row r="47" customFormat="false" ht="15" hidden="false" customHeight="false" outlineLevel="0" collapsed="false">
      <c r="A47" s="1" t="n">
        <v>45</v>
      </c>
      <c r="B47" s="1" t="s">
        <v>146</v>
      </c>
      <c r="C47" s="1" t="s">
        <v>115</v>
      </c>
      <c r="D47" s="1" t="s">
        <v>116</v>
      </c>
      <c r="E47" s="1" t="n">
        <v>2.14940742253693</v>
      </c>
      <c r="F47" s="1" t="n">
        <v>41.3829948804712</v>
      </c>
      <c r="G47" s="1" t="s">
        <v>216</v>
      </c>
      <c r="H47" s="3" t="str">
        <f aca="false">HYPERLINK("https://www.google.com/maps/@?api=1&amp;map_action=pano&amp;viewpoint=41.3829948804712,2.14940742253693","Open GSV")</f>
        <v>Open GSV</v>
      </c>
      <c r="K47" s="1" t="n">
        <v>0</v>
      </c>
      <c r="L47" s="1" t="n">
        <v>3</v>
      </c>
      <c r="O47" s="1" t="n">
        <v>0</v>
      </c>
      <c r="P47" s="1" t="n">
        <v>6</v>
      </c>
      <c r="Q47" s="1" t="n">
        <v>0</v>
      </c>
      <c r="R47" s="1" t="n">
        <v>4</v>
      </c>
      <c r="V47" s="1" t="n">
        <f aca="false">IF(AND(I47="",K47=""),IF(M47&lt;&gt;"",M47,""),IF(AND(I47&lt;&gt;"",K47=""),I47,IF(AND(I47="",K47&lt;&gt;""),K47,IF(ABS(J47-1)&lt;=ABS(13-L47),I47,K47))))</f>
        <v>0</v>
      </c>
      <c r="W47" s="1" t="n">
        <f aca="false">IF(AND(O47="",Q47=""),IF(S47&lt;&gt;"",S47,""),IF(AND(O47&lt;&gt;"",Q47=""),O47,IF(AND(O47="",Q47&lt;&gt;""),Q47,IF(ABS(P47-1)&lt;=ABS(13-R47),O47,Q47))))</f>
        <v>0</v>
      </c>
      <c r="X47" s="1" t="str">
        <f aca="false">IF(OR(V47="",W47=""),"",IF(B47="ADD",IF(AND(W47=0,V47=1),"TRUE","FALSE"),IF(B47="REMOVE",IF(AND(W47=1,V47=0),"TRUE","FALSE"),IF(B47="NONCI",IF(AND(W47=0,V47=0),"TRUE","FALSE"),""))))</f>
        <v>TRUE</v>
      </c>
    </row>
    <row r="48" customFormat="false" ht="15" hidden="false" customHeight="false" outlineLevel="0" collapsed="false">
      <c r="A48" s="1" t="n">
        <v>46</v>
      </c>
      <c r="B48" s="1" t="s">
        <v>146</v>
      </c>
      <c r="C48" s="1" t="s">
        <v>122</v>
      </c>
      <c r="D48" s="1" t="s">
        <v>116</v>
      </c>
      <c r="E48" s="1" t="n">
        <v>2.15472807927131</v>
      </c>
      <c r="F48" s="1" t="n">
        <v>41.3773656033948</v>
      </c>
      <c r="G48" s="1" t="s">
        <v>217</v>
      </c>
      <c r="H48" s="3" t="str">
        <f aca="false">HYPERLINK("https://www.google.com/maps/@?api=1&amp;map_action=pano&amp;viewpoint=41.3773656033948,2.15472807927131","Open GSV")</f>
        <v>Open GSV</v>
      </c>
      <c r="K48" s="1" t="n">
        <v>0</v>
      </c>
      <c r="L48" s="1" t="n">
        <v>3</v>
      </c>
      <c r="O48" s="1" t="n">
        <v>0</v>
      </c>
      <c r="P48" s="1" t="n">
        <v>6</v>
      </c>
      <c r="Q48" s="1" t="n">
        <v>0</v>
      </c>
      <c r="R48" s="1" t="n">
        <v>8</v>
      </c>
      <c r="V48" s="1" t="n">
        <f aca="false">IF(AND(I48="",K48=""),IF(M48&lt;&gt;"",M48,""),IF(AND(I48&lt;&gt;"",K48=""),I48,IF(AND(I48="",K48&lt;&gt;""),K48,IF(ABS(J48-1)&lt;=ABS(13-L48),I48,K48))))</f>
        <v>0</v>
      </c>
      <c r="W48" s="1" t="n">
        <f aca="false">IF(AND(O48="",Q48=""),IF(S48&lt;&gt;"",S48,""),IF(AND(O48&lt;&gt;"",Q48=""),O48,IF(AND(O48="",Q48&lt;&gt;""),Q48,IF(ABS(P48-1)&lt;=ABS(13-R48),O48,Q48))))</f>
        <v>0</v>
      </c>
      <c r="X48" s="1" t="str">
        <f aca="false">IF(OR(V48="",W48=""),"",IF(B48="ADD",IF(AND(W48=0,V48=1),"TRUE","FALSE"),IF(B48="REMOVE",IF(AND(W48=1,V48=0),"TRUE","FALSE"),IF(B48="NONCI",IF(AND(W48=0,V48=0),"TRUE","FALSE"),""))))</f>
        <v>TRUE</v>
      </c>
    </row>
    <row r="49" customFormat="false" ht="15" hidden="false" customHeight="false" outlineLevel="0" collapsed="false">
      <c r="A49" s="1" t="n">
        <v>47</v>
      </c>
      <c r="B49" s="1" t="s">
        <v>146</v>
      </c>
      <c r="C49" s="1" t="s">
        <v>125</v>
      </c>
      <c r="D49" s="1" t="s">
        <v>116</v>
      </c>
      <c r="E49" s="1" t="n">
        <v>2.1482642373602</v>
      </c>
      <c r="F49" s="1" t="n">
        <v>41.3828585874194</v>
      </c>
      <c r="G49" s="1" t="s">
        <v>218</v>
      </c>
      <c r="H49" s="3" t="str">
        <f aca="false">HYPERLINK("https://www.google.com/maps/@?api=1&amp;map_action=pano&amp;viewpoint=41.3828585874194,2.1482642373602","Open GSV")</f>
        <v>Open GSV</v>
      </c>
      <c r="K49" s="1" t="n">
        <v>0</v>
      </c>
      <c r="L49" s="1" t="n">
        <v>3</v>
      </c>
      <c r="O49" s="1" t="n">
        <v>0</v>
      </c>
      <c r="P49" s="1" t="n">
        <v>7</v>
      </c>
      <c r="Q49" s="1" t="n">
        <v>0</v>
      </c>
      <c r="R49" s="1" t="n">
        <v>4</v>
      </c>
      <c r="U49" s="8" t="s">
        <v>60</v>
      </c>
      <c r="V49" s="1" t="n">
        <f aca="false">IF(AND(I49="",K49=""),IF(M49&lt;&gt;"",M49,""),IF(AND(I49&lt;&gt;"",K49=""),I49,IF(AND(I49="",K49&lt;&gt;""),K49,IF(ABS(J49-1)&lt;=ABS(13-L49),I49,K49))))</f>
        <v>0</v>
      </c>
      <c r="W49" s="1" t="n">
        <f aca="false">IF(AND(O49="",Q49=""),IF(S49&lt;&gt;"",S49,""),IF(AND(O49&lt;&gt;"",Q49=""),O49,IF(AND(O49="",Q49&lt;&gt;""),Q49,IF(ABS(P49-1)&lt;=ABS(13-R49),O49,Q49))))</f>
        <v>0</v>
      </c>
      <c r="X49" s="1" t="str">
        <f aca="false">IF(OR(V49="",W49=""),"",IF(B49="ADD",IF(AND(W49=0,V49=1),"TRUE","FALSE"),IF(B49="REMOVE",IF(AND(W49=1,V49=0),"TRUE","FALSE"),IF(B49="NONCI",IF(AND(W49=0,V49=0),"TRUE","FALSE"),""))))</f>
        <v>TRUE</v>
      </c>
    </row>
    <row r="50" customFormat="false" ht="15" hidden="false" customHeight="false" outlineLevel="0" collapsed="false">
      <c r="A50" s="1" t="n">
        <v>48</v>
      </c>
      <c r="B50" s="1" t="s">
        <v>146</v>
      </c>
      <c r="C50" s="1" t="s">
        <v>219</v>
      </c>
      <c r="D50" s="1" t="s">
        <v>116</v>
      </c>
      <c r="E50" s="1" t="n">
        <v>2.18875595645417</v>
      </c>
      <c r="F50" s="1" t="n">
        <v>41.3776990081599</v>
      </c>
      <c r="G50" s="1" t="s">
        <v>220</v>
      </c>
      <c r="H50" s="3" t="str">
        <f aca="false">HYPERLINK("https://www.google.com/maps/@?api=1&amp;map_action=pano&amp;viewpoint=41.3776990081599,2.18875595645417","Open GSV")</f>
        <v>Open GSV</v>
      </c>
      <c r="I50" s="1" t="n">
        <v>0</v>
      </c>
      <c r="J50" s="1" t="n">
        <v>7</v>
      </c>
      <c r="K50" s="1" t="n">
        <v>0</v>
      </c>
      <c r="L50" s="1" t="n">
        <v>3</v>
      </c>
      <c r="O50" s="1" t="n">
        <v>0</v>
      </c>
      <c r="P50" s="1" t="n">
        <v>6</v>
      </c>
      <c r="Q50" s="1" t="n">
        <v>0</v>
      </c>
      <c r="R50" s="1" t="n">
        <v>3</v>
      </c>
      <c r="V50" s="1" t="n">
        <f aca="false">IF(AND(I50="",K50=""),IF(M50&lt;&gt;"",M50,""),IF(AND(I50&lt;&gt;"",K50=""),I50,IF(AND(I50="",K50&lt;&gt;""),K50,IF(ABS(J50-1)&lt;=ABS(13-L50),I50,K50))))</f>
        <v>0</v>
      </c>
      <c r="W50" s="1" t="n">
        <f aca="false">IF(AND(O50="",Q50=""),IF(S50&lt;&gt;"",S50,""),IF(AND(O50&lt;&gt;"",Q50=""),O50,IF(AND(O50="",Q50&lt;&gt;""),Q50,IF(ABS(P50-1)&lt;=ABS(13-R50),O50,Q50))))</f>
        <v>0</v>
      </c>
      <c r="X50" s="1" t="str">
        <f aca="false">IF(OR(V50="",W50=""),"",IF(B50="ADD",IF(AND(W50=0,V50=1),"TRUE","FALSE"),IF(B50="REMOVE",IF(AND(W50=1,V50=0),"TRUE","FALSE"),IF(B50="NONCI",IF(AND(W50=0,V50=0),"TRUE","FALSE"),""))))</f>
        <v>TRUE</v>
      </c>
    </row>
    <row r="51" customFormat="false" ht="15" hidden="false" customHeight="false" outlineLevel="0" collapsed="false">
      <c r="A51" s="1" t="n">
        <v>49</v>
      </c>
      <c r="B51" s="1" t="s">
        <v>146</v>
      </c>
      <c r="C51" s="1" t="s">
        <v>221</v>
      </c>
      <c r="D51" s="1" t="s">
        <v>116</v>
      </c>
      <c r="E51" s="1" t="n">
        <v>2.1592791307784</v>
      </c>
      <c r="F51" s="1" t="n">
        <v>41.3799261629063</v>
      </c>
      <c r="G51" s="1" t="s">
        <v>222</v>
      </c>
      <c r="H51" s="3" t="str">
        <f aca="false">HYPERLINK("https://www.google.com/maps/@?api=1&amp;map_action=pano&amp;viewpoint=41.3799261629063,2.1592791307784","Open GSV")</f>
        <v>Open GSV</v>
      </c>
      <c r="K51" s="1" t="n">
        <v>0</v>
      </c>
      <c r="L51" s="1" t="n">
        <v>3</v>
      </c>
      <c r="M51" s="8"/>
      <c r="N51" s="8"/>
      <c r="O51" s="1" t="n">
        <v>0</v>
      </c>
      <c r="P51" s="1" t="n">
        <v>7</v>
      </c>
      <c r="Q51" s="1" t="n">
        <v>0</v>
      </c>
      <c r="R51" s="1" t="n">
        <v>8</v>
      </c>
      <c r="U51" s="8" t="s">
        <v>181</v>
      </c>
      <c r="V51" s="1" t="n">
        <f aca="false">IF(AND(I51="",K51=""),IF(M51&lt;&gt;"",M51,""),IF(AND(I51&lt;&gt;"",K51=""),I51,IF(AND(I51="",K51&lt;&gt;""),K51,IF(ABS(J51-1)&lt;=ABS(13-L51),I51,K51))))</f>
        <v>0</v>
      </c>
      <c r="W51" s="1" t="n">
        <f aca="false">IF(AND(O51="",Q51=""),IF(S51&lt;&gt;"",S51,""),IF(AND(O51&lt;&gt;"",Q51=""),O51,IF(AND(O51="",Q51&lt;&gt;""),Q51,IF(ABS(P51-1)&lt;=ABS(13-R51),O51,Q51))))</f>
        <v>0</v>
      </c>
      <c r="X51" s="1" t="str">
        <f aca="false">IF(OR(V51="",W51=""),"",IF(B51="ADD",IF(AND(W51=0,V51=1),"TRUE","FALSE"),IF(B51="REMOVE",IF(AND(W51=1,V51=0),"TRUE","FALSE"),IF(B51="NONCI",IF(AND(W51=0,V51=0),"TRUE","FALSE"),""))))</f>
        <v>TRUE</v>
      </c>
    </row>
  </sheetData>
  <mergeCells count="2">
    <mergeCell ref="I1:N1"/>
    <mergeCell ref="O1:T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I1:T2 A1"/>
    </sheetView>
  </sheetViews>
  <sheetFormatPr defaultColWidth="10.6796875" defaultRowHeight="15" zeroHeight="false" outlineLevelRow="0" outlineLevelCol="0"/>
  <sheetData>
    <row r="1" customFormat="false" ht="15" hidden="false" customHeight="false" outlineLevel="0" collapsed="false">
      <c r="A1" s="1" t="s">
        <v>223</v>
      </c>
      <c r="B1" s="1" t="s">
        <v>224</v>
      </c>
    </row>
    <row r="2" customFormat="false" ht="15" hidden="false" customHeight="false" outlineLevel="0" collapsed="false">
      <c r="A2" s="1" t="s">
        <v>225</v>
      </c>
      <c r="B2" s="1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2025-12-06T19:14:34Z</dcterms:created>
  <dc:creator>eugeni</dc:creator>
  <dc:description/>
  <dc:language>en-GB</dc:language>
  <cp:lastModifiedBy>Eugeni Vidal Tortosa</cp:lastModifiedBy>
  <dcterms:modified xsi:type="dcterms:W3CDTF">2025-12-07T10:23:29Z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